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9000" tabRatio="760" activeTab="2"/>
  </bookViews>
  <sheets>
    <sheet name="Info" sheetId="1" r:id="rId1"/>
    <sheet name="Spieler" sheetId="2" r:id="rId2"/>
    <sheet name="Gruppen" sheetId="3" r:id="rId3"/>
  </sheets>
  <externalReferences>
    <externalReference r:id="rId6"/>
  </externalReferences>
  <definedNames>
    <definedName name="_xlfn.IFERROR" hidden="1">#NAME?</definedName>
    <definedName name="_xlfn.IFNA" hidden="1">#NAME?</definedName>
    <definedName name="AAAA">#REF!</definedName>
    <definedName name="BBBB">#REF!</definedName>
    <definedName name="Beginn">'[1]Setzliste'!$C$8</definedName>
    <definedName name="CC">#REF!</definedName>
    <definedName name="CCCC">#REF!</definedName>
    <definedName name="DDDD">#REF!</definedName>
    <definedName name="EEEE">#REF!</definedName>
    <definedName name="FFFF">#REF!</definedName>
    <definedName name="GGGG">#REF!</definedName>
    <definedName name="HHHH">#REF!</definedName>
    <definedName name="jgj1">'Spieler'!$X$3:$X$9</definedName>
    <definedName name="jgj2">'Spieler'!$X$3:$X$8</definedName>
    <definedName name="jgj3">'Spieler'!$X$3:$X$7</definedName>
    <definedName name="jgj4">'Spieler'!$X$3:$X$6</definedName>
    <definedName name="Shotout">'[1]Setzliste'!$C$19</definedName>
    <definedName name="W">#REF!</definedName>
    <definedName name="X">#REF!</definedName>
    <definedName name="Y">#REF!</definedName>
    <definedName name="Z_C64A8A53_8218_44DA_B10A_AAF89AFAC3FF_.wvu.FilterData" localSheetId="1" hidden="1">'Spieler'!$B$4:$F$33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<sst xmlns="http://schemas.openxmlformats.org/spreadsheetml/2006/main" count="241" uniqueCount="156">
  <si>
    <t>Platz</t>
  </si>
  <si>
    <t>Spieler</t>
  </si>
  <si>
    <t>Euro</t>
  </si>
  <si>
    <t>2. (30%)</t>
  </si>
  <si>
    <t>Ort</t>
  </si>
  <si>
    <t>TN</t>
  </si>
  <si>
    <t>Start</t>
  </si>
  <si>
    <t>Spielername</t>
  </si>
  <si>
    <t>geld</t>
  </si>
  <si>
    <t>1. (40%)</t>
  </si>
  <si>
    <t>Jackpot</t>
  </si>
  <si>
    <t xml:space="preserve">Breaks 30 + </t>
  </si>
  <si>
    <t>Auslosung vor Ort!</t>
  </si>
  <si>
    <t>F+</t>
  </si>
  <si>
    <t>F-</t>
  </si>
  <si>
    <t>1. Framedifferenz</t>
  </si>
  <si>
    <t>2. mehr gewonnene Frames</t>
  </si>
  <si>
    <t>3. direkter Vergleich</t>
  </si>
  <si>
    <t>4. Shoot-out</t>
  </si>
  <si>
    <t>5. Black Ball</t>
  </si>
  <si>
    <t>6. Losentscheid</t>
  </si>
  <si>
    <t>Startgeld</t>
  </si>
  <si>
    <t>M</t>
  </si>
  <si>
    <t>S</t>
  </si>
  <si>
    <t>N</t>
  </si>
  <si>
    <t>Breaks 30+</t>
  </si>
  <si>
    <t>:</t>
  </si>
  <si>
    <t>SSR 1</t>
  </si>
  <si>
    <t>SSR 2</t>
  </si>
  <si>
    <t>SSR 3</t>
  </si>
  <si>
    <t>SSR 4</t>
  </si>
  <si>
    <t>SSR 5</t>
  </si>
  <si>
    <t>SSR 6</t>
  </si>
  <si>
    <t>SSR 7</t>
  </si>
  <si>
    <t>SSR 8</t>
  </si>
  <si>
    <t>System</t>
  </si>
  <si>
    <t>wird gespielt!</t>
  </si>
  <si>
    <t>NR</t>
  </si>
  <si>
    <t>SQR 7</t>
  </si>
  <si>
    <t>SQR 1</t>
  </si>
  <si>
    <t>SQR 2</t>
  </si>
  <si>
    <t>SQR 3</t>
  </si>
  <si>
    <t>SQR 4</t>
  </si>
  <si>
    <t>SQR 5</t>
  </si>
  <si>
    <t>SQR 6</t>
  </si>
  <si>
    <t>SQR 8</t>
  </si>
  <si>
    <t>TL:</t>
  </si>
  <si>
    <t>SQR</t>
  </si>
  <si>
    <t>Bemerkung:</t>
  </si>
  <si>
    <t>Gesamtteilnehmer</t>
  </si>
  <si>
    <t>Dresden</t>
  </si>
  <si>
    <t>hier SSR oder SQR eintragen!</t>
  </si>
  <si>
    <t>Turnier</t>
  </si>
  <si>
    <t>hier ein X eintragen!</t>
  </si>
  <si>
    <t>Limbach-O.</t>
  </si>
  <si>
    <t>3. (15%)</t>
  </si>
  <si>
    <t>Turnierteilnehmer</t>
  </si>
  <si>
    <t>Bei drücken des Button wird automatisch</t>
  </si>
  <si>
    <t>3x gelost, danach ist der Butten deaktiv!</t>
  </si>
  <si>
    <t>SQR - Startgeld 10 Euro, davon 2,80 Euro für Jackpot</t>
  </si>
  <si>
    <t>SSR - Startgeld 15 Euro, davon 3,85 Euro für Jackpot + (1 Euro für GST, freiwillig)</t>
  </si>
  <si>
    <t>Die anwesenden TOP 8 sind Startplatz 1-8 zuzuordnen !!!</t>
  </si>
  <si>
    <t>Bitte vorm Auslosen alle rotgeschriebenen Punkte abarbeiten!</t>
  </si>
  <si>
    <t>Bitte in Großbuchstaben schreiben und vor der Auslosung eintragen!</t>
  </si>
  <si>
    <t>Wird nichts eingetragen werden alle Spieler gelost!</t>
  </si>
  <si>
    <t>Wird SSR eingetragen sind die Gruppenköpfe gesetzt (Rangliste Platz 1-4 bzw. 1-8)</t>
  </si>
  <si>
    <t>Double Click</t>
  </si>
  <si>
    <t>Right Click</t>
  </si>
  <si>
    <t>Leipzig</t>
  </si>
  <si>
    <t>x</t>
  </si>
  <si>
    <t>Gruppe A</t>
  </si>
  <si>
    <t>Gruppe B</t>
  </si>
  <si>
    <t>Finale</t>
  </si>
  <si>
    <t>P+</t>
  </si>
  <si>
    <t>gesetzt</t>
  </si>
  <si>
    <t>R1</t>
  </si>
  <si>
    <t>R2</t>
  </si>
  <si>
    <t>VF</t>
  </si>
  <si>
    <t>HF</t>
  </si>
  <si>
    <t>kF</t>
  </si>
  <si>
    <t>F</t>
  </si>
  <si>
    <t>Su</t>
  </si>
  <si>
    <t>RK</t>
  </si>
  <si>
    <t>Pu</t>
  </si>
  <si>
    <t>keine 2. Gruppe = X</t>
  </si>
  <si>
    <t>Kennwort für Nameseingabe = 147</t>
  </si>
  <si>
    <t>Gesamt</t>
  </si>
  <si>
    <t>3. (20%)</t>
  </si>
  <si>
    <t>4. (10%)</t>
  </si>
  <si>
    <t>Update:</t>
  </si>
  <si>
    <t>Turnierplan bis 12 Spieler</t>
  </si>
  <si>
    <t>Teilnehmer:</t>
  </si>
  <si>
    <t>Wer sich qualifiziert hat, kann nicht noch einmal teilnehmen!</t>
  </si>
  <si>
    <t>Spielstätten:</t>
  </si>
  <si>
    <t>Neustadt</t>
  </si>
  <si>
    <t>1 Gruppe</t>
  </si>
  <si>
    <t>Snoobi</t>
  </si>
  <si>
    <t>2 Gruppen</t>
  </si>
  <si>
    <t>Limbach</t>
  </si>
  <si>
    <t>Hohenstein</t>
  </si>
  <si>
    <t>CBC</t>
  </si>
  <si>
    <t>Finalrunde:</t>
  </si>
  <si>
    <t>Finaltag:</t>
  </si>
  <si>
    <t>Turnier bis 12 Teilnehmer / 2 Gruppen</t>
  </si>
  <si>
    <t xml:space="preserve"> - maximal 24 Teilnehmer pro Turniertag (eventuell erweiterbar)</t>
  </si>
  <si>
    <t>Meldebeginn wird auf der SBV Seite veröffentlicht.</t>
  </si>
  <si>
    <t>Vorteil, auch Vereine mit nur 2 Tischen können teilnehmen.</t>
  </si>
  <si>
    <t>Sollte eine Spielstätte nicht teilnehmen, wird diese neu ausgeschrieben!</t>
  </si>
  <si>
    <t>Landesmeister Herren - Qualifikation 2020</t>
  </si>
  <si>
    <t>Infos für Spieler mit Telegram</t>
  </si>
  <si>
    <t>Shootoutzeit</t>
  </si>
  <si>
    <t>Insgesamt werden 11 Gruppen / Saison gespielt (11x2=22 Spieler für die Finalrunde)</t>
  </si>
  <si>
    <t xml:space="preserve"> - 2 Spieler sind für den Finaltag qualifiziert! Letzte Gruppe bis Platz 3</t>
  </si>
  <si>
    <t>plus Landesmeister Vorjahr, plus Platz 3 letzte Gruppe = 24 Spieler</t>
  </si>
  <si>
    <t xml:space="preserve"> - wenn die Gruppen bis 19:30 Uhr fertig sind, Halbfinals (1-4, 2-3), anschließend Finale</t>
  </si>
  <si>
    <t>Finale (Best of 9)</t>
  </si>
  <si>
    <t xml:space="preserve"> - Sind die Gruppe oder Gruppen später als 19:30 Uhr fertig, entfällt das Halbfinale und es gibt sofort das Finale</t>
  </si>
  <si>
    <t xml:space="preserve">   Sollte es nach 19:30 Uhr sein, ist automatisch Platz 3 aus der Gruppenphase qualifiziert, </t>
  </si>
  <si>
    <t xml:space="preserve">   ansonsten spielen die beiden unterlegen Spieler des Halbfinals einen Frame!</t>
  </si>
  <si>
    <t>Info zur letzten Gruppe (hier sind bis Platz 3 die Spieler qualifiziert):</t>
  </si>
  <si>
    <t>Platz 3 (1 Frame)</t>
  </si>
  <si>
    <t>Halbfinals (ab 19:30 Uhr kein Halbfinale möglich)</t>
  </si>
  <si>
    <t>Bei einer Gruppe muss die Ausloung nicht durchgeführt werden.</t>
  </si>
  <si>
    <t>Sax Max</t>
  </si>
  <si>
    <t xml:space="preserve">2 Gruppen </t>
  </si>
  <si>
    <t>in Gruppe 2 ist Platz 3 auch qualifiziert</t>
  </si>
  <si>
    <t xml:space="preserve"> - 24 Spieler auf 2 Spielstätten verteilt (je 2x6er Gruppe), Nur Gruppenphase Jeder gegen Jeden</t>
  </si>
  <si>
    <t>8 Spieler VF/HF (Best of 5)</t>
  </si>
  <si>
    <t>* Änderungen vorbehalten</t>
  </si>
  <si>
    <t>Die fertige und komplett ausgefüllte</t>
  </si>
  <si>
    <t>Turnierdatei, bitte senden an:</t>
  </si>
  <si>
    <t>147max@freenet.de</t>
  </si>
  <si>
    <t>g.oliver@online.de</t>
  </si>
  <si>
    <t>6er Gruppen im Modus Best of 3, Jeder gegen Jeden - Turnierbeginn jeweils 10:00 Uhr</t>
  </si>
  <si>
    <t xml:space="preserve"> - mindestens 4 Spieler pro Gruppe - kein Shootout</t>
  </si>
  <si>
    <t xml:space="preserve"> - Pro Location maximal 12 Spieler (2 Gruppen, 4 Tische)</t>
  </si>
  <si>
    <t>Sollte ein qualifizierter Spieler nicht antreten, rücken jeweils die 3. Plätze aus den Gruppen nach!</t>
  </si>
  <si>
    <t>Selbiges gilt auch, wenn die Spieleranzahl für die Finalrunde nicht voll werden sollte!</t>
  </si>
  <si>
    <t>Total</t>
  </si>
  <si>
    <t>GrA</t>
  </si>
  <si>
    <t>GRB</t>
  </si>
  <si>
    <t xml:space="preserve"> X - letzte Gruppe (Platz 3 qualifiziert)</t>
  </si>
  <si>
    <t>Johannes Heyer</t>
  </si>
  <si>
    <t>Christian Jungk</t>
  </si>
  <si>
    <t>Marec Stachly</t>
  </si>
  <si>
    <t>Tino Delling</t>
  </si>
  <si>
    <t>Jan Utikal</t>
  </si>
  <si>
    <t>Sven Ohlenroth</t>
  </si>
  <si>
    <t>Thomas Metzler</t>
  </si>
  <si>
    <t>Paul Arthur Jeroch</t>
  </si>
  <si>
    <t>Michael Kandler</t>
  </si>
  <si>
    <t>Markus Elstermann</t>
  </si>
  <si>
    <t>Bo3</t>
  </si>
  <si>
    <t>Bitte immer den Doppelklick bei Start machen! Wichtig!</t>
  </si>
  <si>
    <t>30,55,36</t>
  </si>
  <si>
    <t>46,75,45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</si>
</sst>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 &quot;#,##0.00"/>
    <numFmt numFmtId="167" formatCode="&quot;€ &quot;#,##0"/>
    <numFmt numFmtId="168" formatCode=";;;"/>
    <numFmt numFmtId="169" formatCode="[$€-2]\ #,##0.00;[Red]\-[$€-2]\ #,##0.00"/>
    <numFmt numFmtId="170" formatCode="[$€-2]\ #,##0;[Red]\-[$€-2]\ #,##0"/>
    <numFmt numFmtId="171" formatCode="00000"/>
    <numFmt numFmtId="172" formatCode="#,##0\ &quot;€&quot;;[Red]#,##0\ &quot;€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\ &quot;€&quot;;[Red]#,##0.00\ &quot;€&quot;"/>
    <numFmt numFmtId="178" formatCode="h:mm;@"/>
    <numFmt numFmtId="179" formatCode="#,##0&quot; €&quot;;[Red]#,##0&quot; €&quot;"/>
    <numFmt numFmtId="180" formatCode="[$-F400]h:mm:ss\ AM/PM"/>
    <numFmt numFmtId="181" formatCode="[$-407]dddd\,\ d\.\ mmmm\ yyyy"/>
    <numFmt numFmtId="182" formatCode="#,##0\ &quot;€&quot;"/>
    <numFmt numFmtId="183" formatCode="#,##0.00\ &quot;€&quot;"/>
    <numFmt numFmtId="184" formatCode="0.00000"/>
    <numFmt numFmtId="185" formatCode="0.0000000"/>
    <numFmt numFmtId="186" formatCode="#,##0\ _€"/>
  </numFmts>
  <fonts count="13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10"/>
      <color indexed="9"/>
      <name val="Verdana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9"/>
      <color indexed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Verdana"/>
      <family val="2"/>
    </font>
    <font>
      <b/>
      <sz val="8"/>
      <color indexed="9"/>
      <name val="Arial"/>
      <family val="2"/>
    </font>
    <font>
      <b/>
      <sz val="14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40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name val="Verdana"/>
      <family val="2"/>
    </font>
    <font>
      <b/>
      <sz val="14"/>
      <color indexed="10"/>
      <name val="Verdana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1"/>
      <color indexed="18"/>
      <name val="Arial"/>
      <family val="2"/>
    </font>
    <font>
      <b/>
      <sz val="11"/>
      <name val="Verdana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Verdana"/>
      <family val="2"/>
    </font>
    <font>
      <sz val="10"/>
      <color indexed="9"/>
      <name val="Trebuchet MS"/>
      <family val="2"/>
    </font>
    <font>
      <b/>
      <sz val="14"/>
      <color indexed="9"/>
      <name val="Verdana"/>
      <family val="2"/>
    </font>
    <font>
      <b/>
      <sz val="12"/>
      <color indexed="9"/>
      <name val="Arial"/>
      <family val="2"/>
    </font>
    <font>
      <b/>
      <sz val="9"/>
      <color indexed="9"/>
      <name val="Verdana"/>
      <family val="2"/>
    </font>
    <font>
      <b/>
      <u val="single"/>
      <sz val="25"/>
      <color indexed="9"/>
      <name val="Arial"/>
      <family val="2"/>
    </font>
    <font>
      <b/>
      <sz val="16"/>
      <color indexed="9"/>
      <name val="Verdana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sz val="10"/>
      <color indexed="10"/>
      <name val="Arial"/>
      <family val="2"/>
    </font>
    <font>
      <sz val="9"/>
      <color indexed="60"/>
      <name val="Arial"/>
      <family val="2"/>
    </font>
    <font>
      <b/>
      <sz val="10"/>
      <color indexed="60"/>
      <name val="Verdana"/>
      <family val="2"/>
    </font>
    <font>
      <sz val="8"/>
      <color indexed="60"/>
      <name val="Verdana"/>
      <family val="2"/>
    </font>
    <font>
      <sz val="9"/>
      <color indexed="9"/>
      <name val="Arial"/>
      <family val="2"/>
    </font>
    <font>
      <sz val="8"/>
      <color indexed="9"/>
      <name val="Verdana"/>
      <family val="2"/>
    </font>
    <font>
      <b/>
      <sz val="11"/>
      <color indexed="10"/>
      <name val="Arial"/>
      <family val="2"/>
    </font>
    <font>
      <b/>
      <sz val="11"/>
      <color indexed="62"/>
      <name val="Arial"/>
      <family val="2"/>
    </font>
    <font>
      <b/>
      <sz val="10"/>
      <color indexed="10"/>
      <name val="Trebuchet MS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11"/>
      <color indexed="9"/>
      <name val="Arial"/>
      <family val="2"/>
    </font>
    <font>
      <b/>
      <sz val="11"/>
      <color indexed="56"/>
      <name val="Arial"/>
      <family val="2"/>
    </font>
    <font>
      <sz val="18"/>
      <color indexed="9"/>
      <name val="Arial"/>
      <family val="2"/>
    </font>
    <font>
      <b/>
      <sz val="12"/>
      <color indexed="52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8"/>
      <color theme="0"/>
      <name val="Arial"/>
      <family val="2"/>
    </font>
    <font>
      <b/>
      <sz val="10"/>
      <color theme="0"/>
      <name val="Trebuchet MS"/>
      <family val="2"/>
    </font>
    <font>
      <sz val="10"/>
      <color theme="0"/>
      <name val="Trebuchet MS"/>
      <family val="2"/>
    </font>
    <font>
      <b/>
      <sz val="14"/>
      <color theme="0"/>
      <name val="Verdana"/>
      <family val="2"/>
    </font>
    <font>
      <b/>
      <sz val="12"/>
      <color theme="0"/>
      <name val="Arial"/>
      <family val="2"/>
    </font>
    <font>
      <b/>
      <sz val="12"/>
      <color theme="0"/>
      <name val="Verdana"/>
      <family val="2"/>
    </font>
    <font>
      <b/>
      <sz val="10"/>
      <color theme="0"/>
      <name val="Arial"/>
      <family val="2"/>
    </font>
    <font>
      <b/>
      <sz val="9"/>
      <color theme="0"/>
      <name val="Verdana"/>
      <family val="2"/>
    </font>
    <font>
      <b/>
      <sz val="8"/>
      <color theme="0"/>
      <name val="Arial"/>
      <family val="2"/>
    </font>
    <font>
      <b/>
      <u val="single"/>
      <sz val="25"/>
      <color theme="0"/>
      <name val="Arial"/>
      <family val="2"/>
    </font>
    <font>
      <b/>
      <sz val="16"/>
      <color theme="0"/>
      <name val="Verdana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9"/>
      <color theme="9" tint="-0.24997000396251678"/>
      <name val="Arial"/>
      <family val="2"/>
    </font>
    <font>
      <sz val="9"/>
      <color theme="9" tint="-0.24997000396251678"/>
      <name val="Arial"/>
      <family val="2"/>
    </font>
    <font>
      <sz val="10"/>
      <color rgb="FFFF0000"/>
      <name val="Arial"/>
      <family val="2"/>
    </font>
    <font>
      <sz val="9"/>
      <color rgb="FFC00000"/>
      <name val="Arial"/>
      <family val="2"/>
    </font>
    <font>
      <sz val="11"/>
      <color rgb="FFC00000"/>
      <name val="Calibri"/>
      <family val="2"/>
    </font>
    <font>
      <b/>
      <sz val="10"/>
      <color rgb="FFC00000"/>
      <name val="Verdana"/>
      <family val="2"/>
    </font>
    <font>
      <sz val="8"/>
      <color rgb="FFC00000"/>
      <name val="Verdana"/>
      <family val="2"/>
    </font>
    <font>
      <sz val="9"/>
      <color theme="0"/>
      <name val="Arial"/>
      <family val="2"/>
    </font>
    <font>
      <b/>
      <sz val="10"/>
      <color rgb="FFFF0000"/>
      <name val="Arial"/>
      <family val="2"/>
    </font>
    <font>
      <sz val="8"/>
      <color theme="0"/>
      <name val="Verdana"/>
      <family val="2"/>
    </font>
    <font>
      <b/>
      <sz val="11"/>
      <color rgb="FFFF0000"/>
      <name val="Arial"/>
      <family val="2"/>
    </font>
    <font>
      <b/>
      <sz val="11"/>
      <color theme="3"/>
      <name val="Arial"/>
      <family val="2"/>
    </font>
    <font>
      <b/>
      <sz val="10"/>
      <color rgb="FFFF0000"/>
      <name val="Trebuchet MS"/>
      <family val="2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sz val="18"/>
      <color theme="0"/>
      <name val="Arial"/>
      <family val="2"/>
    </font>
    <font>
      <b/>
      <sz val="12"/>
      <color rgb="FF996633"/>
      <name val="Arial"/>
      <family val="2"/>
    </font>
    <font>
      <b/>
      <sz val="9"/>
      <color rgb="FF002060"/>
      <name val="Arial"/>
      <family val="2"/>
    </font>
    <font>
      <b/>
      <sz val="9"/>
      <color theme="3" tint="-0.4999699890613556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0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15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7" fillId="23" borderId="1" applyNumberFormat="0" applyAlignment="0" applyProtection="0"/>
    <xf numFmtId="0" fontId="88" fillId="23" borderId="2" applyNumberFormat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89" fillId="24" borderId="2" applyNumberFormat="0" applyAlignment="0" applyProtection="0"/>
    <xf numFmtId="0" fontId="90" fillId="0" borderId="3" applyNumberFormat="0" applyFill="0" applyAlignment="0" applyProtection="0"/>
    <xf numFmtId="0" fontId="91" fillId="0" borderId="0" applyNumberFormat="0" applyFill="0" applyBorder="0" applyAlignment="0" applyProtection="0"/>
    <xf numFmtId="0" fontId="92" fillId="25" borderId="0" applyNumberFormat="0" applyBorder="0" applyAlignment="0" applyProtection="0"/>
    <xf numFmtId="16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3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54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9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9" applyNumberFormat="0" applyAlignment="0" applyProtection="0"/>
  </cellStyleXfs>
  <cellXfs count="276">
    <xf numFmtId="0" fontId="0" fillId="0" borderId="0" xfId="0" applyAlignment="1">
      <alignment/>
    </xf>
    <xf numFmtId="0" fontId="3" fillId="30" borderId="0" xfId="0" applyFont="1" applyFill="1" applyAlignment="1">
      <alignment horizontal="centerContinuous"/>
    </xf>
    <xf numFmtId="0" fontId="3" fillId="31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 horizontal="left"/>
    </xf>
    <xf numFmtId="0" fontId="3" fillId="31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168" fontId="0" fillId="0" borderId="0" xfId="0" applyNumberFormat="1" applyFont="1" applyAlignment="1" applyProtection="1">
      <alignment/>
      <protection hidden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centerContinuous"/>
    </xf>
    <xf numFmtId="0" fontId="9" fillId="34" borderId="0" xfId="0" applyFont="1" applyFill="1" applyAlignment="1">
      <alignment/>
    </xf>
    <xf numFmtId="0" fontId="15" fillId="32" borderId="0" xfId="0" applyFont="1" applyFill="1" applyAlignment="1">
      <alignment horizontal="center"/>
    </xf>
    <xf numFmtId="0" fontId="16" fillId="32" borderId="0" xfId="0" applyFont="1" applyFill="1" applyAlignment="1">
      <alignment/>
    </xf>
    <xf numFmtId="0" fontId="15" fillId="35" borderId="0" xfId="0" applyFont="1" applyFill="1" applyAlignment="1">
      <alignment horizontal="center"/>
    </xf>
    <xf numFmtId="0" fontId="16" fillId="35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6" fillId="36" borderId="11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8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11" fillId="34" borderId="0" xfId="0" applyFont="1" applyFill="1" applyAlignment="1">
      <alignment horizontal="left"/>
    </xf>
    <xf numFmtId="49" fontId="11" fillId="37" borderId="0" xfId="0" applyNumberFormat="1" applyFont="1" applyFill="1" applyAlignment="1">
      <alignment horizontal="left"/>
    </xf>
    <xf numFmtId="168" fontId="0" fillId="37" borderId="0" xfId="0" applyNumberFormat="1" applyFont="1" applyFill="1" applyAlignment="1" applyProtection="1">
      <alignment/>
      <protection hidden="1"/>
    </xf>
    <xf numFmtId="0" fontId="1" fillId="37" borderId="12" xfId="0" applyFont="1" applyFill="1" applyBorder="1" applyAlignment="1">
      <alignment horizontal="center"/>
    </xf>
    <xf numFmtId="0" fontId="11" fillId="37" borderId="0" xfId="0" applyFont="1" applyFill="1" applyAlignment="1">
      <alignment horizontal="left"/>
    </xf>
    <xf numFmtId="0" fontId="32" fillId="34" borderId="0" xfId="0" applyFont="1" applyFill="1" applyAlignment="1">
      <alignment/>
    </xf>
    <xf numFmtId="0" fontId="10" fillId="34" borderId="0" xfId="0" applyFont="1" applyFill="1" applyAlignment="1">
      <alignment/>
    </xf>
    <xf numFmtId="168" fontId="0" fillId="34" borderId="0" xfId="0" applyNumberFormat="1" applyFont="1" applyFill="1" applyAlignment="1" applyProtection="1">
      <alignment/>
      <protection hidden="1"/>
    </xf>
    <xf numFmtId="0" fontId="33" fillId="38" borderId="11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3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8" fillId="0" borderId="0" xfId="0" applyFont="1" applyAlignment="1">
      <alignment vertical="top" wrapText="1"/>
    </xf>
    <xf numFmtId="0" fontId="33" fillId="38" borderId="0" xfId="0" applyFont="1" applyFill="1" applyAlignment="1">
      <alignment horizontal="center"/>
    </xf>
    <xf numFmtId="0" fontId="97" fillId="0" borderId="0" xfId="0" applyFont="1" applyAlignment="1">
      <alignment/>
    </xf>
    <xf numFmtId="0" fontId="0" fillId="39" borderId="0" xfId="0" applyFill="1" applyAlignment="1">
      <alignment/>
    </xf>
    <xf numFmtId="1" fontId="2" fillId="39" borderId="0" xfId="0" applyNumberFormat="1" applyFont="1" applyFill="1" applyAlignment="1">
      <alignment horizontal="center"/>
    </xf>
    <xf numFmtId="0" fontId="23" fillId="39" borderId="0" xfId="0" applyFont="1" applyFill="1" applyAlignment="1">
      <alignment horizontal="center"/>
    </xf>
    <xf numFmtId="0" fontId="19" fillId="39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98" fillId="39" borderId="0" xfId="0" applyFont="1" applyFill="1" applyAlignment="1">
      <alignment horizontal="right"/>
    </xf>
    <xf numFmtId="0" fontId="98" fillId="39" borderId="0" xfId="0" applyFont="1" applyFill="1" applyAlignment="1">
      <alignment horizontal="center"/>
    </xf>
    <xf numFmtId="0" fontId="99" fillId="39" borderId="0" xfId="0" applyFont="1" applyFill="1" applyAlignment="1">
      <alignment horizontal="left"/>
    </xf>
    <xf numFmtId="0" fontId="99" fillId="39" borderId="0" xfId="0" applyFont="1" applyFill="1" applyAlignment="1">
      <alignment horizontal="right"/>
    </xf>
    <xf numFmtId="0" fontId="100" fillId="39" borderId="0" xfId="0" applyFont="1" applyFill="1" applyAlignment="1">
      <alignment/>
    </xf>
    <xf numFmtId="0" fontId="100" fillId="39" borderId="0" xfId="0" applyFont="1" applyFill="1" applyAlignment="1">
      <alignment horizontal="right"/>
    </xf>
    <xf numFmtId="0" fontId="101" fillId="39" borderId="0" xfId="0" applyFont="1" applyFill="1" applyAlignment="1">
      <alignment horizontal="left"/>
    </xf>
    <xf numFmtId="0" fontId="101" fillId="39" borderId="0" xfId="0" applyFont="1" applyFill="1" applyAlignment="1">
      <alignment horizontal="center"/>
    </xf>
    <xf numFmtId="0" fontId="102" fillId="39" borderId="0" xfId="0" applyFont="1" applyFill="1" applyAlignment="1">
      <alignment/>
    </xf>
    <xf numFmtId="0" fontId="103" fillId="39" borderId="0" xfId="0" applyFont="1" applyFill="1" applyAlignment="1">
      <alignment horizontal="center" vertical="center"/>
    </xf>
    <xf numFmtId="0" fontId="98" fillId="39" borderId="0" xfId="0" applyFont="1" applyFill="1" applyAlignment="1">
      <alignment horizontal="left"/>
    </xf>
    <xf numFmtId="1" fontId="98" fillId="39" borderId="0" xfId="0" applyNumberFormat="1" applyFont="1" applyFill="1" applyAlignment="1">
      <alignment horizontal="right"/>
    </xf>
    <xf numFmtId="2" fontId="98" fillId="39" borderId="0" xfId="0" applyNumberFormat="1" applyFont="1" applyFill="1" applyAlignment="1">
      <alignment horizontal="right"/>
    </xf>
    <xf numFmtId="0" fontId="99" fillId="40" borderId="0" xfId="0" applyFont="1" applyFill="1" applyAlignment="1">
      <alignment horizontal="center"/>
    </xf>
    <xf numFmtId="172" fontId="98" fillId="39" borderId="0" xfId="0" applyNumberFormat="1" applyFont="1" applyFill="1" applyAlignment="1">
      <alignment horizontal="center"/>
    </xf>
    <xf numFmtId="49" fontId="98" fillId="39" borderId="0" xfId="0" applyNumberFormat="1" applyFont="1" applyFill="1" applyAlignment="1">
      <alignment horizontal="left"/>
    </xf>
    <xf numFmtId="0" fontId="99" fillId="40" borderId="0" xfId="0" applyFont="1" applyFill="1" applyAlignment="1">
      <alignment horizontal="left"/>
    </xf>
    <xf numFmtId="0" fontId="98" fillId="41" borderId="0" xfId="0" applyFont="1" applyFill="1" applyAlignment="1">
      <alignment/>
    </xf>
    <xf numFmtId="0" fontId="98" fillId="39" borderId="0" xfId="0" applyFont="1" applyFill="1" applyAlignment="1">
      <alignment/>
    </xf>
    <xf numFmtId="0" fontId="97" fillId="39" borderId="0" xfId="0" applyFont="1" applyFill="1" applyAlignment="1">
      <alignment/>
    </xf>
    <xf numFmtId="0" fontId="100" fillId="39" borderId="0" xfId="0" applyFont="1" applyFill="1" applyAlignment="1">
      <alignment/>
    </xf>
    <xf numFmtId="0" fontId="100" fillId="39" borderId="0" xfId="0" applyFont="1" applyFill="1" applyAlignment="1">
      <alignment horizontal="right"/>
    </xf>
    <xf numFmtId="0" fontId="104" fillId="39" borderId="0" xfId="0" applyFont="1" applyFill="1" applyAlignment="1">
      <alignment/>
    </xf>
    <xf numFmtId="0" fontId="105" fillId="39" borderId="0" xfId="0" applyFont="1" applyFill="1" applyAlignment="1">
      <alignment/>
    </xf>
    <xf numFmtId="168" fontId="97" fillId="39" borderId="0" xfId="0" applyNumberFormat="1" applyFont="1" applyFill="1" applyAlignment="1" applyProtection="1">
      <alignment/>
      <protection hidden="1"/>
    </xf>
    <xf numFmtId="0" fontId="106" fillId="39" borderId="0" xfId="0" applyFont="1" applyFill="1" applyAlignment="1">
      <alignment horizontal="right"/>
    </xf>
    <xf numFmtId="0" fontId="98" fillId="39" borderId="0" xfId="0" applyFont="1" applyFill="1" applyAlignment="1">
      <alignment/>
    </xf>
    <xf numFmtId="0" fontId="106" fillId="39" borderId="0" xfId="0" applyFont="1" applyFill="1" applyAlignment="1">
      <alignment horizontal="center"/>
    </xf>
    <xf numFmtId="0" fontId="103" fillId="39" borderId="0" xfId="0" applyFont="1" applyFill="1" applyAlignment="1">
      <alignment/>
    </xf>
    <xf numFmtId="0" fontId="103" fillId="39" borderId="0" xfId="0" applyFont="1" applyFill="1" applyAlignment="1">
      <alignment horizontal="center"/>
    </xf>
    <xf numFmtId="0" fontId="107" fillId="39" borderId="0" xfId="0" applyFont="1" applyFill="1" applyAlignment="1">
      <alignment horizontal="center"/>
    </xf>
    <xf numFmtId="0" fontId="108" fillId="42" borderId="0" xfId="0" applyFont="1" applyFill="1" applyAlignment="1">
      <alignment horizontal="center"/>
    </xf>
    <xf numFmtId="0" fontId="100" fillId="42" borderId="0" xfId="0" applyFont="1" applyFill="1" applyAlignment="1">
      <alignment/>
    </xf>
    <xf numFmtId="0" fontId="109" fillId="42" borderId="0" xfId="0" applyFont="1" applyFill="1" applyAlignment="1">
      <alignment/>
    </xf>
    <xf numFmtId="0" fontId="106" fillId="39" borderId="0" xfId="0" applyFont="1" applyFill="1" applyAlignment="1">
      <alignment/>
    </xf>
    <xf numFmtId="0" fontId="97" fillId="39" borderId="0" xfId="0" applyFont="1" applyFill="1" applyAlignment="1">
      <alignment/>
    </xf>
    <xf numFmtId="0" fontId="1" fillId="37" borderId="15" xfId="0" applyFont="1" applyFill="1" applyBorder="1" applyAlignment="1">
      <alignment horizontal="center"/>
    </xf>
    <xf numFmtId="21" fontId="110" fillId="39" borderId="0" xfId="0" applyNumberFormat="1" applyFont="1" applyFill="1" applyAlignment="1">
      <alignment horizontal="center"/>
    </xf>
    <xf numFmtId="0" fontId="97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11" fillId="36" borderId="11" xfId="0" applyFont="1" applyFill="1" applyBorder="1" applyAlignment="1">
      <alignment horizontal="center"/>
    </xf>
    <xf numFmtId="0" fontId="112" fillId="36" borderId="11" xfId="0" applyFont="1" applyFill="1" applyBorder="1" applyAlignment="1">
      <alignment horizontal="center"/>
    </xf>
    <xf numFmtId="0" fontId="113" fillId="36" borderId="11" xfId="0" applyFont="1" applyFill="1" applyBorder="1" applyAlignment="1">
      <alignment horizontal="center"/>
    </xf>
    <xf numFmtId="0" fontId="114" fillId="36" borderId="11" xfId="0" applyFont="1" applyFill="1" applyBorder="1" applyAlignment="1">
      <alignment horizontal="center"/>
    </xf>
    <xf numFmtId="0" fontId="8" fillId="39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115" fillId="0" borderId="0" xfId="0" applyFont="1" applyAlignment="1">
      <alignment/>
    </xf>
    <xf numFmtId="185" fontId="32" fillId="37" borderId="0" xfId="0" applyNumberFormat="1" applyFont="1" applyFill="1" applyAlignment="1">
      <alignment/>
    </xf>
    <xf numFmtId="0" fontId="116" fillId="0" borderId="0" xfId="0" applyFont="1" applyAlignment="1">
      <alignment horizontal="center"/>
    </xf>
    <xf numFmtId="178" fontId="117" fillId="43" borderId="11" xfId="49" applyNumberFormat="1" applyFont="1" applyFill="1" applyBorder="1" applyAlignment="1" applyProtection="1">
      <alignment horizontal="center"/>
      <protection locked="0"/>
    </xf>
    <xf numFmtId="1" fontId="118" fillId="44" borderId="11" xfId="0" applyNumberFormat="1" applyFont="1" applyFill="1" applyBorder="1" applyAlignment="1">
      <alignment horizontal="center"/>
    </xf>
    <xf numFmtId="178" fontId="119" fillId="45" borderId="11" xfId="0" applyNumberFormat="1" applyFont="1" applyFill="1" applyBorder="1" applyAlignment="1">
      <alignment horizontal="center"/>
    </xf>
    <xf numFmtId="0" fontId="120" fillId="0" borderId="0" xfId="0" applyFont="1" applyAlignment="1">
      <alignment/>
    </xf>
    <xf numFmtId="0" fontId="120" fillId="0" borderId="0" xfId="0" applyFont="1" applyAlignment="1">
      <alignment horizontal="center"/>
    </xf>
    <xf numFmtId="0" fontId="0" fillId="0" borderId="16" xfId="0" applyBorder="1" applyAlignment="1">
      <alignment/>
    </xf>
    <xf numFmtId="0" fontId="121" fillId="0" borderId="0" xfId="0" applyFont="1" applyAlignment="1">
      <alignment/>
    </xf>
    <xf numFmtId="0" fontId="7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20" fillId="39" borderId="0" xfId="0" applyFont="1" applyFill="1" applyAlignment="1">
      <alignment horizontal="center"/>
    </xf>
    <xf numFmtId="0" fontId="20" fillId="39" borderId="0" xfId="0" applyFont="1" applyFill="1" applyAlignment="1">
      <alignment horizontal="right"/>
    </xf>
    <xf numFmtId="0" fontId="19" fillId="40" borderId="0" xfId="0" applyFont="1" applyFill="1" applyAlignment="1">
      <alignment horizontal="center"/>
    </xf>
    <xf numFmtId="49" fontId="20" fillId="39" borderId="0" xfId="0" applyNumberFormat="1" applyFont="1" applyFill="1" applyAlignment="1">
      <alignment horizontal="left"/>
    </xf>
    <xf numFmtId="0" fontId="19" fillId="40" borderId="0" xfId="0" applyFont="1" applyFill="1" applyAlignment="1">
      <alignment horizontal="left"/>
    </xf>
    <xf numFmtId="0" fontId="19" fillId="40" borderId="0" xfId="0" applyFont="1" applyFill="1" applyAlignment="1">
      <alignment horizontal="right"/>
    </xf>
    <xf numFmtId="0" fontId="19" fillId="39" borderId="0" xfId="0" applyFont="1" applyFill="1" applyAlignment="1">
      <alignment horizontal="left"/>
    </xf>
    <xf numFmtId="0" fontId="20" fillId="41" borderId="0" xfId="0" applyFont="1" applyFill="1" applyAlignment="1">
      <alignment/>
    </xf>
    <xf numFmtId="0" fontId="0" fillId="39" borderId="0" xfId="0" applyFont="1" applyFill="1" applyAlignment="1">
      <alignment/>
    </xf>
    <xf numFmtId="0" fontId="19" fillId="39" borderId="0" xfId="0" applyFont="1" applyFill="1" applyAlignment="1">
      <alignment horizontal="right"/>
    </xf>
    <xf numFmtId="0" fontId="7" fillId="39" borderId="0" xfId="0" applyFont="1" applyFill="1" applyAlignment="1">
      <alignment/>
    </xf>
    <xf numFmtId="0" fontId="30" fillId="39" borderId="0" xfId="0" applyFont="1" applyFill="1" applyAlignment="1">
      <alignment/>
    </xf>
    <xf numFmtId="0" fontId="100" fillId="34" borderId="0" xfId="0" applyFont="1" applyFill="1" applyAlignment="1">
      <alignment/>
    </xf>
    <xf numFmtId="1" fontId="122" fillId="39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right"/>
    </xf>
    <xf numFmtId="0" fontId="1" fillId="46" borderId="0" xfId="0" applyFont="1" applyFill="1" applyAlignment="1">
      <alignment horizontal="center"/>
    </xf>
    <xf numFmtId="0" fontId="97" fillId="39" borderId="0" xfId="0" applyFont="1" applyFill="1" applyAlignment="1">
      <alignment/>
    </xf>
    <xf numFmtId="0" fontId="0" fillId="39" borderId="0" xfId="0" applyFill="1" applyBorder="1" applyAlignment="1">
      <alignment/>
    </xf>
    <xf numFmtId="0" fontId="25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/>
    </xf>
    <xf numFmtId="0" fontId="123" fillId="39" borderId="0" xfId="0" applyFont="1" applyFill="1" applyAlignment="1">
      <alignment/>
    </xf>
    <xf numFmtId="0" fontId="40" fillId="39" borderId="0" xfId="0" applyFont="1" applyFill="1" applyAlignment="1">
      <alignment horizontal="left"/>
    </xf>
    <xf numFmtId="1" fontId="124" fillId="39" borderId="0" xfId="0" applyNumberFormat="1" applyFont="1" applyFill="1" applyAlignment="1">
      <alignment/>
    </xf>
    <xf numFmtId="0" fontId="121" fillId="39" borderId="0" xfId="0" applyFont="1" applyFill="1" applyAlignment="1">
      <alignment/>
    </xf>
    <xf numFmtId="0" fontId="20" fillId="46" borderId="0" xfId="0" applyFont="1" applyFill="1" applyAlignment="1">
      <alignment horizontal="left" vertical="center"/>
    </xf>
    <xf numFmtId="0" fontId="19" fillId="46" borderId="0" xfId="0" applyFont="1" applyFill="1" applyAlignment="1">
      <alignment horizontal="center" vertical="center"/>
    </xf>
    <xf numFmtId="0" fontId="11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185" fontId="32" fillId="39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 horizontal="left"/>
    </xf>
    <xf numFmtId="168" fontId="0" fillId="39" borderId="0" xfId="0" applyNumberFormat="1" applyFont="1" applyFill="1" applyBorder="1" applyAlignment="1" applyProtection="1">
      <alignment/>
      <protection hidden="1"/>
    </xf>
    <xf numFmtId="0" fontId="7" fillId="39" borderId="0" xfId="0" applyFont="1" applyFill="1" applyBorder="1" applyAlignment="1">
      <alignment/>
    </xf>
    <xf numFmtId="0" fontId="1" fillId="37" borderId="11" xfId="0" applyFont="1" applyFill="1" applyBorder="1" applyAlignment="1">
      <alignment horizontal="center"/>
    </xf>
    <xf numFmtId="0" fontId="42" fillId="47" borderId="11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0" fontId="42" fillId="39" borderId="0" xfId="0" applyFont="1" applyFill="1" applyBorder="1" applyAlignment="1">
      <alignment horizontal="center"/>
    </xf>
    <xf numFmtId="0" fontId="98" fillId="39" borderId="0" xfId="0" applyFont="1" applyFill="1" applyBorder="1" applyAlignment="1">
      <alignment horizontal="left"/>
    </xf>
    <xf numFmtId="182" fontId="98" fillId="39" borderId="0" xfId="0" applyNumberFormat="1" applyFont="1" applyFill="1" applyBorder="1" applyAlignment="1">
      <alignment horizontal="center"/>
    </xf>
    <xf numFmtId="0" fontId="98" fillId="39" borderId="0" xfId="0" applyFont="1" applyFill="1" applyBorder="1" applyAlignment="1">
      <alignment horizontal="center"/>
    </xf>
    <xf numFmtId="0" fontId="125" fillId="46" borderId="0" xfId="0" applyFont="1" applyFill="1" applyAlignment="1">
      <alignment/>
    </xf>
    <xf numFmtId="0" fontId="99" fillId="40" borderId="0" xfId="0" applyFont="1" applyFill="1" applyBorder="1" applyAlignment="1">
      <alignment horizontal="center"/>
    </xf>
    <xf numFmtId="172" fontId="98" fillId="39" borderId="0" xfId="0" applyNumberFormat="1" applyFont="1" applyFill="1" applyBorder="1" applyAlignment="1">
      <alignment horizontal="center"/>
    </xf>
    <xf numFmtId="0" fontId="36" fillId="34" borderId="0" xfId="0" applyFont="1" applyFill="1" applyAlignment="1">
      <alignment vertical="top"/>
    </xf>
    <xf numFmtId="0" fontId="43" fillId="34" borderId="0" xfId="0" applyFont="1" applyFill="1" applyAlignment="1">
      <alignment vertical="top"/>
    </xf>
    <xf numFmtId="0" fontId="126" fillId="46" borderId="17" xfId="0" applyFont="1" applyFill="1" applyBorder="1" applyAlignment="1">
      <alignment horizontal="center"/>
    </xf>
    <xf numFmtId="180" fontId="118" fillId="0" borderId="0" xfId="0" applyNumberFormat="1" applyFont="1" applyAlignment="1">
      <alignment horizontal="center"/>
    </xf>
    <xf numFmtId="180" fontId="97" fillId="0" borderId="0" xfId="0" applyNumberFormat="1" applyFont="1" applyAlignment="1">
      <alignment/>
    </xf>
    <xf numFmtId="0" fontId="44" fillId="0" borderId="0" xfId="0" applyFont="1" applyAlignment="1">
      <alignment/>
    </xf>
    <xf numFmtId="0" fontId="106" fillId="48" borderId="0" xfId="0" applyFont="1" applyFill="1" applyAlignment="1">
      <alignment/>
    </xf>
    <xf numFmtId="180" fontId="106" fillId="48" borderId="0" xfId="0" applyNumberFormat="1" applyFont="1" applyFill="1" applyAlignment="1">
      <alignment horizontal="center"/>
    </xf>
    <xf numFmtId="0" fontId="1" fillId="39" borderId="0" xfId="0" applyFont="1" applyFill="1" applyAlignment="1">
      <alignment/>
    </xf>
    <xf numFmtId="0" fontId="127" fillId="0" borderId="0" xfId="0" applyFont="1" applyAlignment="1">
      <alignment/>
    </xf>
    <xf numFmtId="0" fontId="97" fillId="0" borderId="0" xfId="0" applyFont="1" applyAlignment="1">
      <alignment horizontal="right"/>
    </xf>
    <xf numFmtId="20" fontId="97" fillId="39" borderId="0" xfId="0" applyNumberFormat="1" applyFont="1" applyFill="1" applyBorder="1" applyAlignment="1">
      <alignment/>
    </xf>
    <xf numFmtId="0" fontId="106" fillId="39" borderId="0" xfId="0" applyFont="1" applyFill="1" applyBorder="1" applyAlignment="1">
      <alignment/>
    </xf>
    <xf numFmtId="0" fontId="20" fillId="39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48" applyAlignment="1" applyProtection="1">
      <alignment/>
      <protection/>
    </xf>
    <xf numFmtId="20" fontId="121" fillId="0" borderId="11" xfId="0" applyNumberFormat="1" applyFont="1" applyBorder="1" applyAlignment="1">
      <alignment horizontal="center"/>
    </xf>
    <xf numFmtId="178" fontId="121" fillId="39" borderId="11" xfId="0" applyNumberFormat="1" applyFont="1" applyFill="1" applyBorder="1" applyAlignment="1">
      <alignment horizontal="center"/>
    </xf>
    <xf numFmtId="178" fontId="121" fillId="0" borderId="11" xfId="0" applyNumberFormat="1" applyFont="1" applyBorder="1" applyAlignment="1">
      <alignment horizontal="center"/>
    </xf>
    <xf numFmtId="0" fontId="20" fillId="39" borderId="0" xfId="0" applyFont="1" applyFill="1" applyAlignment="1">
      <alignment horizontal="center"/>
    </xf>
    <xf numFmtId="0" fontId="98" fillId="39" borderId="0" xfId="0" applyFont="1" applyFill="1" applyAlignment="1">
      <alignment horizontal="center"/>
    </xf>
    <xf numFmtId="0" fontId="99" fillId="4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9" borderId="0" xfId="0" applyFont="1" applyFill="1" applyAlignment="1">
      <alignment horizontal="center"/>
    </xf>
    <xf numFmtId="1" fontId="20" fillId="39" borderId="0" xfId="0" applyNumberFormat="1" applyFont="1" applyFill="1" applyAlignment="1">
      <alignment horizontal="center"/>
    </xf>
    <xf numFmtId="49" fontId="20" fillId="39" borderId="0" xfId="0" applyNumberFormat="1" applyFont="1" applyFill="1" applyAlignment="1">
      <alignment horizontal="center"/>
    </xf>
    <xf numFmtId="0" fontId="20" fillId="41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" fontId="20" fillId="39" borderId="16" xfId="0" applyNumberFormat="1" applyFont="1" applyFill="1" applyBorder="1" applyAlignment="1">
      <alignment horizontal="center"/>
    </xf>
    <xf numFmtId="0" fontId="7" fillId="46" borderId="0" xfId="0" applyFont="1" applyFill="1" applyAlignment="1">
      <alignment/>
    </xf>
    <xf numFmtId="172" fontId="20" fillId="39" borderId="0" xfId="0" applyNumberFormat="1" applyFont="1" applyFill="1" applyAlignment="1">
      <alignment horizontal="center"/>
    </xf>
    <xf numFmtId="0" fontId="7" fillId="49" borderId="0" xfId="0" applyFont="1" applyFill="1" applyAlignment="1">
      <alignment/>
    </xf>
    <xf numFmtId="0" fontId="7" fillId="50" borderId="0" xfId="0" applyFont="1" applyFill="1" applyAlignment="1">
      <alignment/>
    </xf>
    <xf numFmtId="0" fontId="97" fillId="39" borderId="0" xfId="0" applyFont="1" applyFill="1" applyBorder="1" applyAlignment="1">
      <alignment/>
    </xf>
    <xf numFmtId="0" fontId="128" fillId="39" borderId="0" xfId="0" applyFont="1" applyFill="1" applyAlignment="1">
      <alignment/>
    </xf>
    <xf numFmtId="0" fontId="128" fillId="39" borderId="0" xfId="0" applyFont="1" applyFill="1" applyAlignment="1">
      <alignment horizontal="left"/>
    </xf>
    <xf numFmtId="1" fontId="128" fillId="39" borderId="0" xfId="0" applyNumberFormat="1" applyFont="1" applyFill="1" applyAlignment="1">
      <alignment/>
    </xf>
    <xf numFmtId="21" fontId="0" fillId="0" borderId="0" xfId="0" applyNumberFormat="1" applyAlignment="1">
      <alignment horizontal="right"/>
    </xf>
    <xf numFmtId="0" fontId="0" fillId="0" borderId="0" xfId="0" applyNumberFormat="1" applyFont="1" applyBorder="1" applyAlignment="1">
      <alignment horizontal="right"/>
    </xf>
    <xf numFmtId="1" fontId="122" fillId="45" borderId="0" xfId="0" applyNumberFormat="1" applyFont="1" applyFill="1" applyAlignment="1">
      <alignment horizontal="center"/>
    </xf>
    <xf numFmtId="0" fontId="115" fillId="39" borderId="0" xfId="0" applyFont="1" applyFill="1" applyBorder="1" applyAlignment="1">
      <alignment/>
    </xf>
    <xf numFmtId="0" fontId="115" fillId="39" borderId="0" xfId="0" applyFont="1" applyFill="1" applyAlignment="1">
      <alignment/>
    </xf>
    <xf numFmtId="0" fontId="97" fillId="0" borderId="0" xfId="0" applyNumberFormat="1" applyFont="1" applyAlignment="1">
      <alignment/>
    </xf>
    <xf numFmtId="178" fontId="1" fillId="51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29" fillId="47" borderId="11" xfId="0" applyFont="1" applyFill="1" applyBorder="1" applyAlignment="1">
      <alignment horizontal="center"/>
    </xf>
    <xf numFmtId="0" fontId="129" fillId="36" borderId="11" xfId="0" applyFont="1" applyFill="1" applyBorder="1" applyAlignment="1">
      <alignment horizontal="center"/>
    </xf>
    <xf numFmtId="20" fontId="121" fillId="39" borderId="17" xfId="0" applyNumberFormat="1" applyFont="1" applyFill="1" applyBorder="1" applyAlignment="1">
      <alignment horizontal="center"/>
    </xf>
    <xf numFmtId="49" fontId="97" fillId="39" borderId="0" xfId="0" applyNumberFormat="1" applyFont="1" applyFill="1" applyBorder="1" applyAlignment="1">
      <alignment/>
    </xf>
    <xf numFmtId="0" fontId="127" fillId="0" borderId="0" xfId="0" applyFont="1" applyAlignment="1">
      <alignment horizontal="left"/>
    </xf>
    <xf numFmtId="0" fontId="123" fillId="39" borderId="0" xfId="0" applyFont="1" applyFill="1" applyAlignment="1">
      <alignment horizontal="left"/>
    </xf>
    <xf numFmtId="1" fontId="123" fillId="39" borderId="0" xfId="0" applyNumberFormat="1" applyFont="1" applyFill="1" applyAlignment="1">
      <alignment/>
    </xf>
    <xf numFmtId="180" fontId="99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98" fillId="39" borderId="0" xfId="0" applyFont="1" applyFill="1" applyAlignment="1">
      <alignment horizontal="center"/>
    </xf>
    <xf numFmtId="0" fontId="20" fillId="39" borderId="0" xfId="0" applyFont="1" applyFill="1" applyAlignment="1">
      <alignment horizontal="center"/>
    </xf>
    <xf numFmtId="0" fontId="30" fillId="39" borderId="0" xfId="0" applyFont="1" applyFill="1" applyAlignment="1">
      <alignment horizontal="center"/>
    </xf>
    <xf numFmtId="0" fontId="101" fillId="39" borderId="0" xfId="0" applyFont="1" applyFill="1" applyAlignment="1">
      <alignment horizontal="center"/>
    </xf>
    <xf numFmtId="0" fontId="99" fillId="40" borderId="0" xfId="0" applyFont="1" applyFill="1" applyAlignment="1">
      <alignment horizontal="center"/>
    </xf>
    <xf numFmtId="0" fontId="98" fillId="39" borderId="0" xfId="0" applyFont="1" applyFill="1" applyBorder="1" applyAlignment="1">
      <alignment horizontal="left"/>
    </xf>
    <xf numFmtId="0" fontId="3" fillId="31" borderId="0" xfId="0" applyFont="1" applyFill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0" fontId="106" fillId="39" borderId="0" xfId="0" applyFont="1" applyFill="1" applyAlignment="1">
      <alignment horizontal="left"/>
    </xf>
    <xf numFmtId="0" fontId="20" fillId="39" borderId="0" xfId="0" applyFont="1" applyFill="1" applyBorder="1" applyAlignment="1">
      <alignment horizontal="left"/>
    </xf>
    <xf numFmtId="0" fontId="104" fillId="39" borderId="0" xfId="0" applyFont="1" applyFill="1" applyAlignment="1">
      <alignment horizontal="center"/>
    </xf>
    <xf numFmtId="14" fontId="8" fillId="0" borderId="0" xfId="0" applyNumberFormat="1" applyFont="1" applyAlignment="1">
      <alignment horizontal="left"/>
    </xf>
    <xf numFmtId="0" fontId="3" fillId="30" borderId="0" xfId="0" applyFont="1" applyFill="1" applyAlignment="1">
      <alignment horizontal="center" vertical="center"/>
    </xf>
    <xf numFmtId="0" fontId="3" fillId="30" borderId="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99" fillId="39" borderId="0" xfId="0" applyFont="1" applyFill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21" fontId="130" fillId="39" borderId="0" xfId="0" applyNumberFormat="1" applyFont="1" applyFill="1" applyAlignment="1">
      <alignment horizontal="center"/>
    </xf>
    <xf numFmtId="0" fontId="131" fillId="39" borderId="14" xfId="0" applyFont="1" applyFill="1" applyBorder="1" applyAlignment="1">
      <alignment horizontal="center" vertical="center"/>
    </xf>
    <xf numFmtId="0" fontId="131" fillId="39" borderId="13" xfId="0" applyFont="1" applyFill="1" applyBorder="1" applyAlignment="1">
      <alignment horizontal="center" vertical="center"/>
    </xf>
    <xf numFmtId="0" fontId="99" fillId="39" borderId="0" xfId="0" applyFont="1" applyFill="1" applyAlignment="1">
      <alignment horizontal="center"/>
    </xf>
    <xf numFmtId="21" fontId="30" fillId="39" borderId="0" xfId="0" applyNumberFormat="1" applyFont="1" applyFill="1" applyAlignment="1">
      <alignment horizontal="center"/>
    </xf>
    <xf numFmtId="0" fontId="20" fillId="39" borderId="0" xfId="0" applyFont="1" applyFill="1" applyAlignment="1">
      <alignment horizontal="left"/>
    </xf>
    <xf numFmtId="0" fontId="36" fillId="52" borderId="0" xfId="0" applyFont="1" applyFill="1" applyAlignment="1">
      <alignment horizontal="center"/>
    </xf>
    <xf numFmtId="0" fontId="106" fillId="39" borderId="0" xfId="0" applyFont="1" applyFill="1" applyAlignment="1">
      <alignment horizontal="center"/>
    </xf>
    <xf numFmtId="0" fontId="99" fillId="40" borderId="0" xfId="0" applyFont="1" applyFill="1" applyBorder="1" applyAlignment="1">
      <alignment horizontal="center"/>
    </xf>
    <xf numFmtId="0" fontId="25" fillId="36" borderId="17" xfId="0" applyFont="1" applyFill="1" applyBorder="1" applyAlignment="1">
      <alignment horizontal="center"/>
    </xf>
    <xf numFmtId="0" fontId="25" fillId="36" borderId="18" xfId="0" applyFont="1" applyFill="1" applyBorder="1" applyAlignment="1">
      <alignment horizontal="center"/>
    </xf>
    <xf numFmtId="0" fontId="25" fillId="36" borderId="19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3" fillId="38" borderId="11" xfId="0" applyFont="1" applyFill="1" applyBorder="1" applyAlignment="1">
      <alignment horizontal="center"/>
    </xf>
    <xf numFmtId="0" fontId="126" fillId="36" borderId="11" xfId="0" applyFont="1" applyFill="1" applyBorder="1" applyAlignment="1">
      <alignment horizontal="center"/>
    </xf>
    <xf numFmtId="0" fontId="30" fillId="39" borderId="0" xfId="0" applyFont="1" applyFill="1" applyBorder="1" applyAlignment="1">
      <alignment horizontal="center"/>
    </xf>
    <xf numFmtId="0" fontId="132" fillId="36" borderId="17" xfId="0" applyFont="1" applyFill="1" applyBorder="1" applyAlignment="1">
      <alignment horizontal="center"/>
    </xf>
    <xf numFmtId="0" fontId="132" fillId="36" borderId="18" xfId="0" applyFont="1" applyFill="1" applyBorder="1" applyAlignment="1">
      <alignment horizontal="center"/>
    </xf>
    <xf numFmtId="0" fontId="132" fillId="36" borderId="19" xfId="0" applyFont="1" applyFill="1" applyBorder="1" applyAlignment="1">
      <alignment horizontal="center"/>
    </xf>
    <xf numFmtId="0" fontId="25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3" fillId="36" borderId="17" xfId="0" applyFont="1" applyFill="1" applyBorder="1" applyAlignment="1">
      <alignment horizontal="center"/>
    </xf>
    <xf numFmtId="0" fontId="133" fillId="36" borderId="18" xfId="0" applyFont="1" applyFill="1" applyBorder="1" applyAlignment="1">
      <alignment horizontal="center"/>
    </xf>
    <xf numFmtId="0" fontId="133" fillId="36" borderId="19" xfId="0" applyFont="1" applyFill="1" applyBorder="1" applyAlignment="1">
      <alignment horizontal="center"/>
    </xf>
    <xf numFmtId="0" fontId="33" fillId="38" borderId="17" xfId="0" applyFont="1" applyFill="1" applyBorder="1" applyAlignment="1">
      <alignment horizontal="center"/>
    </xf>
    <xf numFmtId="0" fontId="33" fillId="38" borderId="18" xfId="0" applyFont="1" applyFill="1" applyBorder="1" applyAlignment="1">
      <alignment horizontal="center"/>
    </xf>
    <xf numFmtId="0" fontId="33" fillId="38" borderId="19" xfId="0" applyFont="1" applyFill="1" applyBorder="1" applyAlignment="1">
      <alignment horizontal="center"/>
    </xf>
    <xf numFmtId="180" fontId="30" fillId="46" borderId="0" xfId="0" applyNumberFormat="1" applyFont="1" applyFill="1" applyAlignment="1">
      <alignment horizontal="center"/>
    </xf>
    <xf numFmtId="180" fontId="99" fillId="48" borderId="0" xfId="0" applyNumberFormat="1" applyFont="1" applyFill="1" applyAlignment="1">
      <alignment horizontal="center"/>
    </xf>
    <xf numFmtId="180" fontId="99" fillId="48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40" fillId="39" borderId="0" xfId="0" applyFont="1" applyFill="1" applyAlignment="1">
      <alignment horizontal="left"/>
    </xf>
    <xf numFmtId="0" fontId="41" fillId="47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17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ill>
        <patternFill>
          <bgColor rgb="FF00B05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ill>
        <patternFill>
          <bgColor rgb="FF00B05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name val="Cambria"/>
        <family val="1"/>
        <color theme="0" tint="-0.24993999302387238"/>
      </font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FFFF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19</xdr:row>
      <xdr:rowOff>38100</xdr:rowOff>
    </xdr:from>
    <xdr:to>
      <xdr:col>4</xdr:col>
      <xdr:colOff>85725</xdr:colOff>
      <xdr:row>21</xdr:row>
      <xdr:rowOff>133350</xdr:rowOff>
    </xdr:to>
    <xdr:sp>
      <xdr:nvSpPr>
        <xdr:cNvPr id="1" name="Geschweifte Klammer rechts 1"/>
        <xdr:cNvSpPr>
          <a:spLocks/>
        </xdr:cNvSpPr>
      </xdr:nvSpPr>
      <xdr:spPr>
        <a:xfrm>
          <a:off x="2562225" y="3067050"/>
          <a:ext cx="47625" cy="4191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57150</xdr:rowOff>
    </xdr:from>
    <xdr:to>
      <xdr:col>4</xdr:col>
      <xdr:colOff>85725</xdr:colOff>
      <xdr:row>23</xdr:row>
      <xdr:rowOff>114300</xdr:rowOff>
    </xdr:to>
    <xdr:sp>
      <xdr:nvSpPr>
        <xdr:cNvPr id="2" name="Geschweifte Klammer rechts 2"/>
        <xdr:cNvSpPr>
          <a:spLocks/>
        </xdr:cNvSpPr>
      </xdr:nvSpPr>
      <xdr:spPr>
        <a:xfrm>
          <a:off x="2562225" y="3571875"/>
          <a:ext cx="47625" cy="2190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24</xdr:row>
      <xdr:rowOff>47625</xdr:rowOff>
    </xdr:from>
    <xdr:to>
      <xdr:col>4</xdr:col>
      <xdr:colOff>85725</xdr:colOff>
      <xdr:row>26</xdr:row>
      <xdr:rowOff>123825</xdr:rowOff>
    </xdr:to>
    <xdr:sp>
      <xdr:nvSpPr>
        <xdr:cNvPr id="3" name="Geschweifte Klammer rechts 3"/>
        <xdr:cNvSpPr>
          <a:spLocks/>
        </xdr:cNvSpPr>
      </xdr:nvSpPr>
      <xdr:spPr>
        <a:xfrm>
          <a:off x="2562225" y="3886200"/>
          <a:ext cx="47625" cy="4000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37</xdr:row>
      <xdr:rowOff>104775</xdr:rowOff>
    </xdr:from>
    <xdr:to>
      <xdr:col>1</xdr:col>
      <xdr:colOff>57150</xdr:colOff>
      <xdr:row>37</xdr:row>
      <xdr:rowOff>123825</xdr:rowOff>
    </xdr:to>
    <xdr:pic>
      <xdr:nvPicPr>
        <xdr:cNvPr id="1" name="AUSLOS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9425"/>
          <a:ext cx="28575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49</xdr:row>
      <xdr:rowOff>9525</xdr:rowOff>
    </xdr:from>
    <xdr:to>
      <xdr:col>1</xdr:col>
      <xdr:colOff>123825</xdr:colOff>
      <xdr:row>49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7215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47625</xdr:rowOff>
    </xdr:from>
    <xdr:to>
      <xdr:col>14</xdr:col>
      <xdr:colOff>571500</xdr:colOff>
      <xdr:row>5</xdr:row>
      <xdr:rowOff>19050</xdr:rowOff>
    </xdr:to>
    <xdr:pic>
      <xdr:nvPicPr>
        <xdr:cNvPr id="3" name="Losu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600075"/>
          <a:ext cx="1238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e\Documents\S&#252;dStern%20Turnier_2012.04.14_10.00.25_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Anleitung"/>
      <sheetName val="Setzliste"/>
      <sheetName val="Spielplan"/>
      <sheetName val="Gruppe"/>
      <sheetName val="Finale"/>
      <sheetName val="Grafik"/>
    </sheetNames>
    <sheetDataSet>
      <sheetData sheetId="2">
        <row r="8">
          <cell r="C8">
            <v>0.4166666666666667</v>
          </cell>
        </row>
        <row r="19">
          <cell r="C19">
            <v>0.041666666666666664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147max@freenet.de" TargetMode="External" /><Relationship Id="rId2" Type="http://schemas.openxmlformats.org/officeDocument/2006/relationships/hyperlink" Target="mailto:g.oliver@online.de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rgb="FFFFFF00"/>
  </sheetPr>
  <dimension ref="B1:E39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</cols>
  <sheetData>
    <row r="1" ht="24.75" customHeight="1">
      <c r="B1" s="168" t="s">
        <v>108</v>
      </c>
    </row>
    <row r="2" ht="12.75">
      <c r="B2" s="46" t="s">
        <v>133</v>
      </c>
    </row>
    <row r="3" ht="12.75">
      <c r="B3" s="46" t="s">
        <v>134</v>
      </c>
    </row>
    <row r="4" ht="12.75">
      <c r="B4" s="171" t="s">
        <v>114</v>
      </c>
    </row>
    <row r="5" ht="12.75">
      <c r="B5" s="46" t="s">
        <v>116</v>
      </c>
    </row>
    <row r="6" ht="12.75">
      <c r="B6" s="46" t="s">
        <v>119</v>
      </c>
    </row>
    <row r="7" ht="12.75">
      <c r="B7" s="172" t="s">
        <v>117</v>
      </c>
    </row>
    <row r="8" ht="12.75">
      <c r="B8" s="172" t="s">
        <v>118</v>
      </c>
    </row>
    <row r="9" ht="12.75">
      <c r="B9" s="45" t="s">
        <v>104</v>
      </c>
    </row>
    <row r="10" ht="12.75">
      <c r="B10" s="45" t="s">
        <v>135</v>
      </c>
    </row>
    <row r="11" ht="4.5" customHeight="1">
      <c r="B11" s="45"/>
    </row>
    <row r="12" ht="12.75">
      <c r="B12" s="46" t="s">
        <v>111</v>
      </c>
    </row>
    <row r="13" ht="12.75" customHeight="1">
      <c r="B13" s="46" t="s">
        <v>113</v>
      </c>
    </row>
    <row r="14" ht="12.75">
      <c r="B14" s="45" t="s">
        <v>106</v>
      </c>
    </row>
    <row r="15" ht="12.75">
      <c r="B15" s="45" t="s">
        <v>105</v>
      </c>
    </row>
    <row r="16" ht="12.75">
      <c r="B16" s="45" t="s">
        <v>136</v>
      </c>
    </row>
    <row r="17" ht="12.75">
      <c r="B17" s="45" t="s">
        <v>137</v>
      </c>
    </row>
    <row r="18" ht="12.75">
      <c r="B18" t="s">
        <v>92</v>
      </c>
    </row>
    <row r="19" ht="5.25" customHeight="1"/>
    <row r="20" spans="2:5" ht="12.75">
      <c r="B20" s="46" t="s">
        <v>93</v>
      </c>
      <c r="C20" s="46" t="s">
        <v>94</v>
      </c>
      <c r="D20" s="46" t="s">
        <v>95</v>
      </c>
      <c r="E20" s="220">
        <v>43757</v>
      </c>
    </row>
    <row r="21" spans="2:5" ht="12.75">
      <c r="B21" s="46"/>
      <c r="C21" s="46" t="s">
        <v>99</v>
      </c>
      <c r="D21" s="46" t="s">
        <v>95</v>
      </c>
      <c r="E21" s="221"/>
    </row>
    <row r="22" spans="2:5" ht="12.75">
      <c r="B22" s="46"/>
      <c r="C22" s="46" t="s">
        <v>100</v>
      </c>
      <c r="D22" s="46" t="s">
        <v>95</v>
      </c>
      <c r="E22" s="221"/>
    </row>
    <row r="23" spans="2:5" ht="12.75">
      <c r="B23" s="46"/>
      <c r="C23" s="46" t="s">
        <v>96</v>
      </c>
      <c r="D23" s="46" t="s">
        <v>97</v>
      </c>
      <c r="E23" s="220">
        <v>43841</v>
      </c>
    </row>
    <row r="24" spans="2:5" ht="12.75">
      <c r="B24" s="46"/>
      <c r="C24" s="46" t="s">
        <v>68</v>
      </c>
      <c r="D24" s="46" t="s">
        <v>97</v>
      </c>
      <c r="E24" s="221"/>
    </row>
    <row r="25" spans="2:5" ht="12.75">
      <c r="B25" s="46"/>
      <c r="C25" s="46" t="s">
        <v>98</v>
      </c>
      <c r="D25" s="46" t="s">
        <v>124</v>
      </c>
      <c r="E25" s="220">
        <v>43869</v>
      </c>
    </row>
    <row r="26" spans="2:5" ht="12.75">
      <c r="B26" s="222" t="s">
        <v>125</v>
      </c>
      <c r="C26" s="222"/>
      <c r="D26" s="222"/>
      <c r="E26" s="221"/>
    </row>
    <row r="27" spans="2:5" ht="12.75">
      <c r="B27" s="46"/>
      <c r="C27" s="46" t="s">
        <v>123</v>
      </c>
      <c r="D27" s="46" t="s">
        <v>97</v>
      </c>
      <c r="E27" s="221"/>
    </row>
    <row r="28" ht="12.75">
      <c r="B28" s="46" t="s">
        <v>107</v>
      </c>
    </row>
    <row r="29" ht="5.25" customHeight="1">
      <c r="B29" s="46"/>
    </row>
    <row r="30" ht="12.75">
      <c r="B30" s="46" t="s">
        <v>101</v>
      </c>
    </row>
    <row r="31" ht="12.75">
      <c r="B31" s="45" t="s">
        <v>126</v>
      </c>
    </row>
    <row r="32" ht="12.75">
      <c r="B32" s="45" t="s">
        <v>112</v>
      </c>
    </row>
    <row r="33" ht="3.75" customHeight="1"/>
    <row r="34" ht="12.75">
      <c r="B34" s="46" t="s">
        <v>102</v>
      </c>
    </row>
    <row r="35" ht="12.75">
      <c r="B35" s="45" t="s">
        <v>127</v>
      </c>
    </row>
    <row r="36" ht="12" customHeight="1">
      <c r="B36" s="45" t="s">
        <v>115</v>
      </c>
    </row>
    <row r="37" ht="12.75">
      <c r="B37" t="s">
        <v>109</v>
      </c>
    </row>
    <row r="39" ht="12.75">
      <c r="B39" s="10" t="s">
        <v>128</v>
      </c>
    </row>
  </sheetData>
  <sheetProtection/>
  <mergeCells count="4">
    <mergeCell ref="E20:E22"/>
    <mergeCell ref="E23:E24"/>
    <mergeCell ref="B26:D26"/>
    <mergeCell ref="E25:E2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11"/>
  </sheetPr>
  <dimension ref="A1:AE70"/>
  <sheetViews>
    <sheetView showGridLines="0" showRowColHeaders="0" zoomScale="120" zoomScaleNormal="120" zoomScalePageLayoutView="0" workbookViewId="0" topLeftCell="A1">
      <selection activeCell="A1" sqref="A1:G1"/>
    </sheetView>
  </sheetViews>
  <sheetFormatPr defaultColWidth="11.421875" defaultRowHeight="12.75"/>
  <cols>
    <col min="1" max="1" width="5.7109375" style="12" customWidth="1"/>
    <col min="2" max="2" width="39.00390625" style="0" customWidth="1"/>
    <col min="3" max="3" width="8.8515625" style="0" customWidth="1"/>
    <col min="4" max="4" width="8.7109375" style="0" hidden="1" customWidth="1"/>
    <col min="5" max="5" width="2.28125" style="0" hidden="1" customWidth="1"/>
    <col min="6" max="6" width="4.28125" style="0" hidden="1" customWidth="1"/>
    <col min="7" max="7" width="3.28125" style="0" hidden="1" customWidth="1"/>
    <col min="8" max="8" width="4.8515625" style="0" hidden="1" customWidth="1"/>
    <col min="9" max="9" width="5.28125" style="0" hidden="1" customWidth="1"/>
    <col min="10" max="11" width="1.7109375" style="0" hidden="1" customWidth="1"/>
    <col min="12" max="12" width="0.9921875" style="0" customWidth="1"/>
    <col min="13" max="13" width="5.421875" style="0" customWidth="1"/>
    <col min="14" max="14" width="4.28125" style="0" customWidth="1"/>
    <col min="15" max="15" width="9.28125" style="0" customWidth="1"/>
    <col min="16" max="16" width="16.421875" style="0" customWidth="1"/>
    <col min="17" max="17" width="11.28125" style="0" hidden="1" customWidth="1"/>
    <col min="18" max="18" width="0.9921875" style="0" customWidth="1"/>
    <col min="19" max="20" width="4.28125" style="0" customWidth="1"/>
    <col min="21" max="21" width="4.28125" style="24" customWidth="1"/>
    <col min="22" max="22" width="2.57421875" style="0" customWidth="1"/>
    <col min="23" max="23" width="3.8515625" style="0" hidden="1" customWidth="1"/>
    <col min="24" max="28" width="3.8515625" style="186" hidden="1" customWidth="1"/>
    <col min="29" max="29" width="3.8515625" style="0" hidden="1" customWidth="1"/>
    <col min="30" max="31" width="5.57421875" style="0" hidden="1" customWidth="1"/>
  </cols>
  <sheetData>
    <row r="1" spans="1:17" ht="15.75">
      <c r="A1" s="247" t="s">
        <v>103</v>
      </c>
      <c r="B1" s="247"/>
      <c r="C1" s="247"/>
      <c r="D1" s="247"/>
      <c r="E1" s="247"/>
      <c r="F1" s="247"/>
      <c r="G1" s="247"/>
      <c r="J1" s="233" t="s">
        <v>69</v>
      </c>
      <c r="K1" s="233"/>
      <c r="L1" s="135"/>
      <c r="M1" s="231" t="s">
        <v>84</v>
      </c>
      <c r="N1" s="231"/>
      <c r="O1" s="231"/>
      <c r="P1" s="231"/>
      <c r="Q1" s="135"/>
    </row>
    <row r="2" spans="1:28" s="3" customFormat="1" ht="15" customHeight="1">
      <c r="A2" s="235" t="s">
        <v>7</v>
      </c>
      <c r="B2" s="235"/>
      <c r="C2" s="2" t="s">
        <v>6</v>
      </c>
      <c r="D2" s="229" t="s">
        <v>74</v>
      </c>
      <c r="E2" s="47"/>
      <c r="F2" s="1"/>
      <c r="G2" s="1"/>
      <c r="H2" s="1"/>
      <c r="K2" s="26"/>
      <c r="M2" s="160" t="s">
        <v>85</v>
      </c>
      <c r="N2" s="160"/>
      <c r="O2" s="160"/>
      <c r="P2" s="160"/>
      <c r="Q2" s="160"/>
      <c r="R2" s="67"/>
      <c r="S2" s="66" t="s">
        <v>46</v>
      </c>
      <c r="T2" s="226"/>
      <c r="U2" s="226"/>
      <c r="V2" s="226"/>
      <c r="W2" s="226"/>
      <c r="X2" s="226"/>
      <c r="Y2" s="187"/>
      <c r="Z2" s="186"/>
      <c r="AA2" s="187"/>
      <c r="AB2" s="187"/>
    </row>
    <row r="3" spans="1:28" s="3" customFormat="1" ht="12.75" customHeight="1" thickBot="1">
      <c r="A3" s="236"/>
      <c r="B3" s="237"/>
      <c r="C3" s="6" t="s">
        <v>8</v>
      </c>
      <c r="D3" s="230"/>
      <c r="E3" s="5"/>
      <c r="F3" s="5"/>
      <c r="G3" s="4" t="s">
        <v>11</v>
      </c>
      <c r="H3" s="5"/>
      <c r="K3" s="26"/>
      <c r="M3" s="144" t="s">
        <v>91</v>
      </c>
      <c r="N3" s="144"/>
      <c r="O3" s="144"/>
      <c r="P3" s="145">
        <f>I37</f>
        <v>10</v>
      </c>
      <c r="Q3" s="118"/>
      <c r="R3" s="68"/>
      <c r="S3" s="68"/>
      <c r="T3" s="68"/>
      <c r="U3" s="68"/>
      <c r="V3" s="69" t="s">
        <v>47</v>
      </c>
      <c r="W3" s="69"/>
      <c r="X3" s="188"/>
      <c r="Y3" s="187"/>
      <c r="Z3" s="186"/>
      <c r="AA3" s="187"/>
      <c r="AB3" s="187"/>
    </row>
    <row r="4" spans="1:31" s="10" customFormat="1" ht="12.75">
      <c r="A4" s="185">
        <v>1</v>
      </c>
      <c r="B4" s="46" t="s">
        <v>143</v>
      </c>
      <c r="C4" s="36"/>
      <c r="D4" s="36"/>
      <c r="E4" s="39">
        <f aca="true" t="shared" si="0" ref="E4:E15">IF(B4=0,0,1)</f>
        <v>1</v>
      </c>
      <c r="F4" s="108">
        <f aca="true" ca="1" t="shared" si="1" ref="F4:F15">IF(OR(B4=0),101,IF(D4="x",0.01*RAND(),RAND()*100))</f>
        <v>52.517015652789965</v>
      </c>
      <c r="G4" s="34"/>
      <c r="H4" s="35">
        <f aca="true" t="shared" si="2" ref="H4:H35">IF(F4=101,1,2)</f>
        <v>2</v>
      </c>
      <c r="I4" s="10">
        <f>IF(B4&gt;"",1,0)</f>
        <v>1</v>
      </c>
      <c r="K4" s="12"/>
      <c r="L4" s="131">
        <f>IF(B4=0,0,1)</f>
        <v>1</v>
      </c>
      <c r="M4" s="157" t="s">
        <v>21</v>
      </c>
      <c r="N4" s="157"/>
      <c r="O4" s="157"/>
      <c r="P4" s="158">
        <v>0</v>
      </c>
      <c r="R4" s="71"/>
      <c r="S4" s="70" t="s">
        <v>21</v>
      </c>
      <c r="T4" s="70"/>
      <c r="U4" s="70"/>
      <c r="V4" s="61"/>
      <c r="W4" s="182">
        <v>6</v>
      </c>
      <c r="X4" s="189">
        <v>7</v>
      </c>
      <c r="Y4" s="186">
        <v>8</v>
      </c>
      <c r="Z4" s="186">
        <v>9</v>
      </c>
      <c r="AA4" s="186">
        <v>10</v>
      </c>
      <c r="AB4" s="186">
        <v>11</v>
      </c>
      <c r="AC4" s="196" t="s">
        <v>138</v>
      </c>
      <c r="AD4" s="198" t="s">
        <v>139</v>
      </c>
      <c r="AE4" s="199" t="s">
        <v>140</v>
      </c>
    </row>
    <row r="5" spans="1:31" s="10" customFormat="1" ht="12.75">
      <c r="A5" s="185">
        <v>2</v>
      </c>
      <c r="B5" s="46" t="s">
        <v>146</v>
      </c>
      <c r="C5" s="36"/>
      <c r="D5" s="36"/>
      <c r="E5" s="39">
        <f t="shared" si="0"/>
        <v>1</v>
      </c>
      <c r="F5" s="108">
        <f ca="1" t="shared" si="1"/>
        <v>15.544725586971374</v>
      </c>
      <c r="G5" s="37"/>
      <c r="H5" s="35">
        <f t="shared" si="2"/>
        <v>2</v>
      </c>
      <c r="I5" s="10">
        <f aca="true" t="shared" si="3" ref="I5:I15">IF(B5&gt;"",1,0)</f>
        <v>1</v>
      </c>
      <c r="K5" s="12"/>
      <c r="L5" s="131">
        <f aca="true" t="shared" si="4" ref="L5:L35">IF(B5=0,0,1)</f>
        <v>1</v>
      </c>
      <c r="M5" s="228" t="s">
        <v>86</v>
      </c>
      <c r="N5" s="228"/>
      <c r="O5" s="228"/>
      <c r="P5" s="158">
        <f>C37*P4</f>
        <v>0</v>
      </c>
      <c r="R5" s="71"/>
      <c r="S5" s="61"/>
      <c r="T5" s="61"/>
      <c r="U5" s="61"/>
      <c r="V5" s="61"/>
      <c r="W5" s="182">
        <f aca="true" t="shared" si="5" ref="W5:W10">IF($P$3=6,B4,"")</f>
      </c>
      <c r="X5" s="189">
        <f>IF($P$3=7,B4,"")</f>
      </c>
      <c r="Y5" s="189">
        <f>IF($P$3=8,B4,"")</f>
      </c>
      <c r="Z5" s="189">
        <f>IF($P$3=9,B4,"")</f>
      </c>
      <c r="AA5" s="189" t="str">
        <f>IF($P$3=10,B4,"")</f>
        <v>Christian Jungk</v>
      </c>
      <c r="AB5" s="189">
        <f>IF($P$3=11,B4,"")</f>
      </c>
      <c r="AC5" s="196" t="str">
        <f>IF(W4=$P$3,W5,IF(X4=$P$3,X5,IF(Y4=$P$3,Y5,IF(Z4=$P$3,Z5,IF(AA4=$P$3,AA5,IF(AB4=$P$3,AB5,B4))))))</f>
        <v>Christian Jungk</v>
      </c>
      <c r="AD5" s="198" t="str">
        <f>IF($P$3=6,W5,IF($P$3=7,X5,IF($P$3=8,Y5,IF($P$3=9,Z5,IF($P$3=10,AA5,IF($P$3=11,AB5,B4))))))</f>
        <v>Christian Jungk</v>
      </c>
      <c r="AE5" s="199" t="str">
        <f>IF($P$3=6,"",IF($P$3=7,X9,IF($P$3=8,Y9,IF($P$3=9,AC10,IF($P$3=10,AC10,IF($P$3=11,AC11,C4))))))</f>
        <v>Marec Stachly</v>
      </c>
    </row>
    <row r="6" spans="1:31" s="10" customFormat="1" ht="12.75">
      <c r="A6" s="185">
        <v>3</v>
      </c>
      <c r="B6" s="46" t="s">
        <v>149</v>
      </c>
      <c r="C6" s="36"/>
      <c r="D6" s="36"/>
      <c r="E6" s="39">
        <f t="shared" si="0"/>
        <v>1</v>
      </c>
      <c r="F6" s="108">
        <f ca="1" t="shared" si="1"/>
        <v>69.60188256768845</v>
      </c>
      <c r="G6" s="37"/>
      <c r="H6" s="35">
        <f t="shared" si="2"/>
        <v>2</v>
      </c>
      <c r="I6" s="10">
        <f t="shared" si="3"/>
        <v>1</v>
      </c>
      <c r="K6" s="12"/>
      <c r="L6" s="131">
        <f t="shared" si="4"/>
        <v>1</v>
      </c>
      <c r="M6" s="157"/>
      <c r="N6" s="157"/>
      <c r="O6" s="157"/>
      <c r="P6" s="158">
        <v>0</v>
      </c>
      <c r="R6" s="72"/>
      <c r="S6" s="70" t="s">
        <v>10</v>
      </c>
      <c r="T6" s="70"/>
      <c r="U6" s="70"/>
      <c r="V6" s="61"/>
      <c r="W6" s="182">
        <f t="shared" si="5"/>
      </c>
      <c r="X6" s="189">
        <f aca="true" t="shared" si="6" ref="X6:X11">IF($P$3=7,B5,"")</f>
      </c>
      <c r="Y6" s="189">
        <f aca="true" t="shared" si="7" ref="Y6:Y11">IF($P$3=8,B5,"")</f>
      </c>
      <c r="Z6" s="189">
        <f aca="true" t="shared" si="8" ref="Z6:Z13">IF($P$3=9,B5,"")</f>
      </c>
      <c r="AA6" s="189" t="str">
        <f aca="true" t="shared" si="9" ref="AA6:AA14">IF($P$3=10,B5,"")</f>
        <v>Jan Utikal</v>
      </c>
      <c r="AB6" s="189">
        <f aca="true" t="shared" si="10" ref="AB6:AB35">IF($P$3=11,B5,"")</f>
      </c>
      <c r="AC6" s="196" t="str">
        <f aca="true" t="shared" si="11" ref="AC6:AC15">IF(X5=$P$3,X6,IF(Y5=$P$3,Y6,IF(Z5=$P$3,Z6,IF(AA5=$P$3,AA6,IF(AB5=$P$3,AB6,B5)))))</f>
        <v>Jan Utikal</v>
      </c>
      <c r="AD6" s="198" t="str">
        <f>IF($P$3=6,W6,IF($P$3=7,X6,IF($P$3=8,Y6,IF($P$3=9,Z6,IF($P$3=10,AA6,IF($P$3=11,AB6,B5))))))</f>
        <v>Jan Utikal</v>
      </c>
      <c r="AE6" s="199" t="str">
        <f>IF($P$3=6,"",IF($P$3=7,X10,IF($P$3=8,Y10,IF($P$3=9,AC11,IF($P$3=10,AC11,IF($P$3=11,AC12,C5))))))</f>
        <v>Tino Delling</v>
      </c>
    </row>
    <row r="7" spans="1:31" s="10" customFormat="1" ht="12.75">
      <c r="A7" s="185">
        <v>4</v>
      </c>
      <c r="B7" s="46" t="s">
        <v>148</v>
      </c>
      <c r="C7" s="36"/>
      <c r="D7" s="36"/>
      <c r="E7" s="39">
        <f t="shared" si="0"/>
        <v>1</v>
      </c>
      <c r="F7" s="108">
        <f ca="1" t="shared" si="1"/>
        <v>16.48683753778346</v>
      </c>
      <c r="G7" s="37"/>
      <c r="H7" s="35">
        <f t="shared" si="2"/>
        <v>2</v>
      </c>
      <c r="I7" s="10">
        <f t="shared" si="3"/>
        <v>1</v>
      </c>
      <c r="K7" s="12"/>
      <c r="L7" s="131">
        <f t="shared" si="4"/>
        <v>1</v>
      </c>
      <c r="M7" s="176" t="s">
        <v>122</v>
      </c>
      <c r="N7" s="176"/>
      <c r="O7" s="176"/>
      <c r="P7" s="176"/>
      <c r="Q7" s="176"/>
      <c r="R7" s="176"/>
      <c r="S7" s="176"/>
      <c r="T7" s="176"/>
      <c r="U7" s="176"/>
      <c r="V7" s="61"/>
      <c r="W7" s="182">
        <f t="shared" si="5"/>
      </c>
      <c r="X7" s="189">
        <f t="shared" si="6"/>
      </c>
      <c r="Y7" s="189">
        <f t="shared" si="7"/>
      </c>
      <c r="Z7" s="189">
        <f t="shared" si="8"/>
      </c>
      <c r="AA7" s="189" t="str">
        <f t="shared" si="9"/>
        <v>Paul Arthur Jeroch</v>
      </c>
      <c r="AB7" s="189">
        <f t="shared" si="10"/>
      </c>
      <c r="AC7" s="196" t="str">
        <f t="shared" si="11"/>
        <v>Paul Arthur Jeroch</v>
      </c>
      <c r="AD7" s="198" t="str">
        <f>IF($P$3=6,W7,IF($P$3=7,X7,IF($P$3=8,Y7,IF($P$3=9,Z7,IF($P$3=10,AA7,IF($P$3=11,AB7,B6))))))</f>
        <v>Paul Arthur Jeroch</v>
      </c>
      <c r="AE7" s="199" t="str">
        <f>IF($P$3=6,"",IF($P$3=7,X11,IF($P$3=8,Y11,IF($P$3=9,AC12,IF($P$3=10,AC12,IF($P$3=11,AC13,C6))))))</f>
        <v>Johannes Heyer</v>
      </c>
    </row>
    <row r="8" spans="1:31" s="10" customFormat="1" ht="12.75">
      <c r="A8" s="185">
        <v>5</v>
      </c>
      <c r="B8" s="177" t="s">
        <v>147</v>
      </c>
      <c r="C8" s="36"/>
      <c r="D8" s="36"/>
      <c r="E8" s="39">
        <f t="shared" si="0"/>
        <v>1</v>
      </c>
      <c r="F8" s="108">
        <f ca="1" t="shared" si="1"/>
        <v>89.57744970611428</v>
      </c>
      <c r="G8" s="37"/>
      <c r="H8" s="35">
        <f t="shared" si="2"/>
        <v>2</v>
      </c>
      <c r="I8" s="10">
        <f t="shared" si="3"/>
        <v>1</v>
      </c>
      <c r="K8" s="12"/>
      <c r="L8" s="131">
        <f t="shared" si="4"/>
        <v>1</v>
      </c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182">
        <f t="shared" si="5"/>
      </c>
      <c r="X8" s="195">
        <f t="shared" si="6"/>
      </c>
      <c r="Y8" s="195">
        <f t="shared" si="7"/>
      </c>
      <c r="Z8" s="189">
        <f t="shared" si="8"/>
      </c>
      <c r="AA8" s="189" t="str">
        <f t="shared" si="9"/>
        <v>Thomas Metzler</v>
      </c>
      <c r="AB8" s="189">
        <f t="shared" si="10"/>
      </c>
      <c r="AC8" s="196" t="str">
        <f t="shared" si="11"/>
        <v>Thomas Metzler</v>
      </c>
      <c r="AD8" s="198" t="str">
        <f>IF($P$3=6,W8,IF($P$3=7,X8,IF($P$3=8,Y8,IF($P$3=9,Z8,IF($P$3=10,AA8,IF($P$3=11,AB8,B7))))))</f>
        <v>Thomas Metzler</v>
      </c>
      <c r="AE8" s="199" t="str">
        <f>IF($P$3=6,"",IF($P$3=7,X12,IF($P$3=8,Y12,IF($P$3=9,AC13,IF($P$3=10,AC13,IF($P$3=11,AC14,C7))))))</f>
        <v>Markus Elstermann</v>
      </c>
    </row>
    <row r="9" spans="1:31" s="10" customFormat="1" ht="12.75">
      <c r="A9" s="185">
        <v>6</v>
      </c>
      <c r="B9" s="46" t="s">
        <v>144</v>
      </c>
      <c r="C9" s="153"/>
      <c r="D9" s="36"/>
      <c r="E9" s="39">
        <f t="shared" si="0"/>
        <v>1</v>
      </c>
      <c r="F9" s="108">
        <f ca="1" t="shared" si="1"/>
        <v>88.97425704073731</v>
      </c>
      <c r="G9" s="37"/>
      <c r="H9" s="35">
        <f t="shared" si="2"/>
        <v>2</v>
      </c>
      <c r="I9" s="10">
        <f t="shared" si="3"/>
        <v>1</v>
      </c>
      <c r="K9" s="12"/>
      <c r="L9" s="131">
        <f t="shared" si="4"/>
        <v>1</v>
      </c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182">
        <f t="shared" si="5"/>
      </c>
      <c r="X9" s="189">
        <f t="shared" si="6"/>
      </c>
      <c r="Y9" s="189">
        <f t="shared" si="7"/>
      </c>
      <c r="Z9" s="195">
        <f t="shared" si="8"/>
      </c>
      <c r="AA9" s="195" t="str">
        <f t="shared" si="9"/>
        <v>Sven Ohlenroth</v>
      </c>
      <c r="AB9" s="189">
        <f t="shared" si="10"/>
      </c>
      <c r="AC9" s="196" t="str">
        <f t="shared" si="11"/>
        <v>Sven Ohlenroth</v>
      </c>
      <c r="AD9" s="198" t="str">
        <f>IF($P$3=6,W9,IF($P$3=7,"",IF($P$3=8,"",IF($P$3=9,Z9,IF($P$3=10,AA9,IF($P$3=11,AB9,B8))))))</f>
        <v>Sven Ohlenroth</v>
      </c>
      <c r="AE9" s="199" t="str">
        <f>IF($P$3=6,"",IF($P$3=7,"",IF($P$3=8,"",IF($P$3=9,"",IF($P$3=10,AC14,IF($P$3=11,AC15,C8))))))</f>
        <v>Michael Kandler</v>
      </c>
    </row>
    <row r="10" spans="1:31" s="10" customFormat="1" ht="12.75">
      <c r="A10" s="185">
        <v>7</v>
      </c>
      <c r="B10" s="46" t="s">
        <v>145</v>
      </c>
      <c r="C10" s="36"/>
      <c r="D10" s="36"/>
      <c r="E10" s="39">
        <f t="shared" si="0"/>
        <v>1</v>
      </c>
      <c r="F10" s="108">
        <f ca="1" t="shared" si="1"/>
        <v>52.331349994285326</v>
      </c>
      <c r="G10" s="37"/>
      <c r="H10" s="35">
        <f t="shared" si="2"/>
        <v>2</v>
      </c>
      <c r="I10" s="10">
        <f t="shared" si="3"/>
        <v>1</v>
      </c>
      <c r="K10" s="12"/>
      <c r="L10" s="131">
        <f t="shared" si="4"/>
        <v>1</v>
      </c>
      <c r="M10" s="211" t="s">
        <v>89</v>
      </c>
      <c r="N10" s="234">
        <v>43837</v>
      </c>
      <c r="O10" s="234"/>
      <c r="P10" s="119"/>
      <c r="Q10" s="120"/>
      <c r="R10" s="60"/>
      <c r="S10" s="61"/>
      <c r="T10" s="61"/>
      <c r="U10" s="61"/>
      <c r="V10" s="61"/>
      <c r="W10" s="182">
        <f t="shared" si="5"/>
      </c>
      <c r="X10" s="189">
        <f t="shared" si="6"/>
      </c>
      <c r="Y10" s="189">
        <f t="shared" si="7"/>
      </c>
      <c r="Z10" s="189">
        <f t="shared" si="8"/>
      </c>
      <c r="AA10" s="189" t="str">
        <f t="shared" si="9"/>
        <v>Marec Stachly</v>
      </c>
      <c r="AB10" s="195">
        <f t="shared" si="10"/>
      </c>
      <c r="AC10" s="196" t="str">
        <f t="shared" si="11"/>
        <v>Marec Stachly</v>
      </c>
      <c r="AD10" s="198">
        <f>IF($P$3=6,W10,IF($P$3=7,"",IF($P$3=8,"",IF($P$3=9,"",IF($P$3=10,"",IF($P$3=11,AB10,B9))))))</f>
      </c>
      <c r="AE10" s="199">
        <f>IF($P$3=6,"",IF($P$3=7,"",IF($P$3=8,"",IF($P$3=9,"",IF($P$3=10,"",IF($P$3=11,"",C9))))))</f>
      </c>
    </row>
    <row r="11" spans="1:29" s="10" customFormat="1" ht="12.75">
      <c r="A11" s="185">
        <v>8</v>
      </c>
      <c r="B11" s="46" t="s">
        <v>142</v>
      </c>
      <c r="C11" s="36"/>
      <c r="D11" s="36"/>
      <c r="E11" s="39">
        <f t="shared" si="0"/>
        <v>1</v>
      </c>
      <c r="F11" s="108">
        <f ca="1" t="shared" si="1"/>
        <v>35.51695766550777</v>
      </c>
      <c r="G11" s="37"/>
      <c r="H11" s="35">
        <f t="shared" si="2"/>
        <v>2</v>
      </c>
      <c r="I11" s="10">
        <f t="shared" si="3"/>
        <v>1</v>
      </c>
      <c r="K11" s="12"/>
      <c r="L11" s="131">
        <f t="shared" si="4"/>
        <v>1</v>
      </c>
      <c r="M11" s="249" t="s">
        <v>0</v>
      </c>
      <c r="N11" s="249"/>
      <c r="O11" s="249"/>
      <c r="P11" s="161" t="s">
        <v>2</v>
      </c>
      <c r="Q11" s="120"/>
      <c r="R11" s="60"/>
      <c r="S11" s="227" t="s">
        <v>0</v>
      </c>
      <c r="T11" s="227"/>
      <c r="U11" s="227"/>
      <c r="V11" s="73" t="s">
        <v>2</v>
      </c>
      <c r="W11" s="121"/>
      <c r="X11" s="189">
        <f t="shared" si="6"/>
      </c>
      <c r="Y11" s="189">
        <f t="shared" si="7"/>
      </c>
      <c r="Z11" s="189">
        <f t="shared" si="8"/>
      </c>
      <c r="AA11" s="189" t="str">
        <f t="shared" si="9"/>
        <v>Tino Delling</v>
      </c>
      <c r="AB11" s="189">
        <f t="shared" si="10"/>
      </c>
      <c r="AC11" s="196" t="str">
        <f t="shared" si="11"/>
        <v>Tino Delling</v>
      </c>
    </row>
    <row r="12" spans="1:29" s="10" customFormat="1" ht="12.75">
      <c r="A12" s="185">
        <v>9</v>
      </c>
      <c r="B12" s="46" t="s">
        <v>151</v>
      </c>
      <c r="C12" s="36"/>
      <c r="D12" s="36"/>
      <c r="E12" s="39">
        <f t="shared" si="0"/>
        <v>1</v>
      </c>
      <c r="F12" s="108">
        <f ca="1" t="shared" si="1"/>
        <v>71.87016401438194</v>
      </c>
      <c r="G12" s="37"/>
      <c r="H12" s="35">
        <f t="shared" si="2"/>
        <v>2</v>
      </c>
      <c r="I12" s="10">
        <f t="shared" si="3"/>
        <v>1</v>
      </c>
      <c r="K12" s="12"/>
      <c r="L12" s="131">
        <f t="shared" si="4"/>
        <v>1</v>
      </c>
      <c r="M12" s="238" t="s">
        <v>9</v>
      </c>
      <c r="N12" s="238"/>
      <c r="O12" s="238"/>
      <c r="P12" s="162">
        <f>P8*40%</f>
        <v>0</v>
      </c>
      <c r="Q12" s="122"/>
      <c r="R12" s="75"/>
      <c r="S12" s="244" t="s">
        <v>9</v>
      </c>
      <c r="T12" s="244"/>
      <c r="U12" s="244"/>
      <c r="V12" s="74" t="e">
        <f>X8*40%</f>
        <v>#VALUE!</v>
      </c>
      <c r="W12" s="197"/>
      <c r="X12" s="190"/>
      <c r="Y12" s="189">
        <f>IF($P$3=8,B11,"")</f>
      </c>
      <c r="Z12" s="189">
        <f t="shared" si="8"/>
      </c>
      <c r="AA12" s="189" t="str">
        <f t="shared" si="9"/>
        <v>Johannes Heyer</v>
      </c>
      <c r="AB12" s="189">
        <f t="shared" si="10"/>
      </c>
      <c r="AC12" s="196" t="str">
        <f t="shared" si="11"/>
        <v>Johannes Heyer</v>
      </c>
    </row>
    <row r="13" spans="1:29" s="10" customFormat="1" ht="12.75">
      <c r="A13" s="185">
        <v>10</v>
      </c>
      <c r="B13" s="177" t="s">
        <v>150</v>
      </c>
      <c r="C13" s="36"/>
      <c r="D13" s="36"/>
      <c r="E13" s="39">
        <f t="shared" si="0"/>
        <v>1</v>
      </c>
      <c r="F13" s="108">
        <f ca="1" t="shared" si="1"/>
        <v>50.14161435898299</v>
      </c>
      <c r="G13" s="37"/>
      <c r="H13" s="35">
        <f t="shared" si="2"/>
        <v>2</v>
      </c>
      <c r="I13" s="10">
        <f t="shared" si="3"/>
        <v>1</v>
      </c>
      <c r="K13" s="12"/>
      <c r="L13" s="131">
        <f t="shared" si="4"/>
        <v>1</v>
      </c>
      <c r="M13" s="238" t="s">
        <v>3</v>
      </c>
      <c r="N13" s="238"/>
      <c r="O13" s="238"/>
      <c r="P13" s="162">
        <f>P8*30%</f>
        <v>0</v>
      </c>
      <c r="Q13" s="120"/>
      <c r="R13" s="60"/>
      <c r="S13" s="244" t="s">
        <v>3</v>
      </c>
      <c r="T13" s="244"/>
      <c r="U13" s="244"/>
      <c r="V13" s="74" t="e">
        <f>X8*30%</f>
        <v>#VALUE!</v>
      </c>
      <c r="W13" s="197"/>
      <c r="X13" s="182"/>
      <c r="Y13" s="189"/>
      <c r="Z13" s="189">
        <f t="shared" si="8"/>
      </c>
      <c r="AA13" s="189" t="str">
        <f t="shared" si="9"/>
        <v>Markus Elstermann</v>
      </c>
      <c r="AB13" s="189">
        <f t="shared" si="10"/>
      </c>
      <c r="AC13" s="196" t="str">
        <f t="shared" si="11"/>
        <v>Markus Elstermann</v>
      </c>
    </row>
    <row r="14" spans="1:29" s="10" customFormat="1" ht="12.75">
      <c r="A14" s="185">
        <v>11</v>
      </c>
      <c r="B14" s="177"/>
      <c r="C14" s="36"/>
      <c r="D14" s="36"/>
      <c r="E14" s="39">
        <f t="shared" si="0"/>
        <v>0</v>
      </c>
      <c r="F14" s="108">
        <f ca="1" t="shared" si="1"/>
        <v>101</v>
      </c>
      <c r="G14" s="37"/>
      <c r="H14" s="35">
        <f t="shared" si="2"/>
        <v>1</v>
      </c>
      <c r="I14" s="10">
        <f t="shared" si="3"/>
        <v>0</v>
      </c>
      <c r="K14" s="12"/>
      <c r="L14" s="131">
        <f t="shared" si="4"/>
        <v>0</v>
      </c>
      <c r="M14" s="238" t="s">
        <v>87</v>
      </c>
      <c r="N14" s="238"/>
      <c r="O14" s="238"/>
      <c r="P14" s="162">
        <f>P8*20%</f>
        <v>0</v>
      </c>
      <c r="Q14" s="120"/>
      <c r="R14" s="60"/>
      <c r="S14" s="244" t="s">
        <v>55</v>
      </c>
      <c r="T14" s="244"/>
      <c r="U14" s="244"/>
      <c r="V14" s="74" t="e">
        <f>X8*15%</f>
        <v>#VALUE!</v>
      </c>
      <c r="W14" s="74"/>
      <c r="X14" s="182"/>
      <c r="Y14" s="186"/>
      <c r="Z14" s="189"/>
      <c r="AA14" s="189" t="str">
        <f t="shared" si="9"/>
        <v>Michael Kandler</v>
      </c>
      <c r="AB14" s="189">
        <f t="shared" si="10"/>
      </c>
      <c r="AC14" s="196" t="str">
        <f t="shared" si="11"/>
        <v>Michael Kandler</v>
      </c>
    </row>
    <row r="15" spans="1:29" s="10" customFormat="1" ht="12.75">
      <c r="A15" s="185">
        <v>12</v>
      </c>
      <c r="B15" s="177"/>
      <c r="C15" s="36"/>
      <c r="D15" s="153"/>
      <c r="E15" s="39">
        <f t="shared" si="0"/>
        <v>0</v>
      </c>
      <c r="F15" s="108">
        <f ca="1" t="shared" si="1"/>
        <v>101</v>
      </c>
      <c r="G15" s="37"/>
      <c r="H15" s="35">
        <f t="shared" si="2"/>
        <v>1</v>
      </c>
      <c r="I15" s="10">
        <f t="shared" si="3"/>
        <v>0</v>
      </c>
      <c r="K15" s="12"/>
      <c r="L15" s="131">
        <f t="shared" si="4"/>
        <v>0</v>
      </c>
      <c r="M15" s="238" t="s">
        <v>88</v>
      </c>
      <c r="N15" s="238"/>
      <c r="O15" s="238"/>
      <c r="P15" s="162">
        <f>P8*10%</f>
        <v>0</v>
      </c>
      <c r="Q15" s="120"/>
      <c r="R15" s="60"/>
      <c r="S15" s="244" t="s">
        <v>55</v>
      </c>
      <c r="T15" s="244"/>
      <c r="U15" s="244"/>
      <c r="V15" s="74" t="e">
        <f>X8*15%</f>
        <v>#VALUE!</v>
      </c>
      <c r="W15" s="74"/>
      <c r="X15" s="182"/>
      <c r="Y15" s="186"/>
      <c r="Z15" s="186"/>
      <c r="AA15" s="189"/>
      <c r="AB15" s="189">
        <f t="shared" si="10"/>
      </c>
      <c r="AC15" s="196">
        <f t="shared" si="11"/>
        <v>0</v>
      </c>
    </row>
    <row r="16" spans="1:28" s="10" customFormat="1" ht="12.75" hidden="1">
      <c r="A16" s="146"/>
      <c r="B16" s="147"/>
      <c r="C16" s="138"/>
      <c r="D16" s="138"/>
      <c r="E16" s="148"/>
      <c r="F16" s="149"/>
      <c r="G16" s="150"/>
      <c r="H16" s="151"/>
      <c r="I16" s="152"/>
      <c r="K16" s="12"/>
      <c r="L16" s="131">
        <f t="shared" si="4"/>
        <v>0</v>
      </c>
      <c r="M16" s="159"/>
      <c r="N16" s="159"/>
      <c r="O16" s="159"/>
      <c r="P16" s="162">
        <f>SUM(P12:P15)</f>
        <v>0</v>
      </c>
      <c r="Q16" s="120"/>
      <c r="R16" s="60"/>
      <c r="S16" s="61"/>
      <c r="T16" s="61"/>
      <c r="U16" s="61"/>
      <c r="V16" s="61"/>
      <c r="W16" s="183"/>
      <c r="X16" s="182"/>
      <c r="Y16" s="186"/>
      <c r="Z16" s="186"/>
      <c r="AA16" s="186"/>
      <c r="AB16" s="189">
        <f t="shared" si="10"/>
      </c>
    </row>
    <row r="17" spans="1:28" s="10" customFormat="1" ht="12.75" hidden="1">
      <c r="A17" s="146"/>
      <c r="B17" s="147"/>
      <c r="C17" s="138"/>
      <c r="D17" s="138"/>
      <c r="E17" s="148"/>
      <c r="F17" s="149"/>
      <c r="G17" s="150"/>
      <c r="H17" s="151"/>
      <c r="I17" s="152"/>
      <c r="K17" s="12"/>
      <c r="L17" s="131">
        <f t="shared" si="4"/>
        <v>0</v>
      </c>
      <c r="M17" s="119"/>
      <c r="N17" s="119"/>
      <c r="O17" s="119"/>
      <c r="P17" s="119"/>
      <c r="Q17" s="120"/>
      <c r="R17" s="60"/>
      <c r="S17" s="61"/>
      <c r="T17" s="61"/>
      <c r="U17" s="61"/>
      <c r="V17" s="61"/>
      <c r="W17" s="183"/>
      <c r="X17" s="182"/>
      <c r="Y17" s="186"/>
      <c r="Z17" s="186"/>
      <c r="AA17" s="186"/>
      <c r="AB17" s="189">
        <f t="shared" si="10"/>
      </c>
    </row>
    <row r="18" spans="1:28" s="10" customFormat="1" ht="13.5" hidden="1">
      <c r="A18" s="7">
        <v>15</v>
      </c>
      <c r="B18" s="52"/>
      <c r="C18" s="36"/>
      <c r="D18" s="36"/>
      <c r="E18" s="39">
        <f aca="true" t="shared" si="12" ref="E18:E35">IF(B18=0,0,1)</f>
        <v>0</v>
      </c>
      <c r="F18" s="108">
        <f aca="true" ca="1" t="shared" si="13" ref="F18:F35">IF(OR(B18=0),101,IF(D18="x",0.01*RAND(),RAND()*100))</f>
        <v>101</v>
      </c>
      <c r="G18" s="34"/>
      <c r="H18" s="35">
        <f t="shared" si="2"/>
        <v>1</v>
      </c>
      <c r="K18" s="12"/>
      <c r="L18" s="131">
        <f t="shared" si="4"/>
        <v>0</v>
      </c>
      <c r="M18" s="123" t="s">
        <v>52</v>
      </c>
      <c r="N18" s="123"/>
      <c r="O18" s="123"/>
      <c r="P18" s="121" t="s">
        <v>4</v>
      </c>
      <c r="Q18" s="124" t="s">
        <v>5</v>
      </c>
      <c r="R18" s="63"/>
      <c r="S18" s="76" t="s">
        <v>52</v>
      </c>
      <c r="T18" s="76"/>
      <c r="U18" s="76"/>
      <c r="V18" s="73" t="s">
        <v>4</v>
      </c>
      <c r="W18" s="184"/>
      <c r="X18" s="121" t="s">
        <v>5</v>
      </c>
      <c r="Y18" s="186"/>
      <c r="Z18" s="186"/>
      <c r="AA18" s="186"/>
      <c r="AB18" s="189">
        <f t="shared" si="10"/>
      </c>
    </row>
    <row r="19" spans="1:28" s="10" customFormat="1" ht="13.5" hidden="1">
      <c r="A19" s="7">
        <v>16</v>
      </c>
      <c r="B19" s="52"/>
      <c r="C19" s="36"/>
      <c r="D19" s="36"/>
      <c r="E19" s="39">
        <f t="shared" si="12"/>
        <v>0</v>
      </c>
      <c r="F19" s="108">
        <f ca="1" t="shared" si="13"/>
        <v>101</v>
      </c>
      <c r="G19" s="37"/>
      <c r="H19" s="35">
        <f t="shared" si="2"/>
        <v>1</v>
      </c>
      <c r="K19" s="12"/>
      <c r="L19" s="131">
        <f t="shared" si="4"/>
        <v>0</v>
      </c>
      <c r="M19" s="119"/>
      <c r="N19" s="119"/>
      <c r="O19" s="119"/>
      <c r="P19" s="119"/>
      <c r="Q19" s="120"/>
      <c r="R19" s="60"/>
      <c r="S19" s="61"/>
      <c r="T19" s="61"/>
      <c r="U19" s="61"/>
      <c r="V19" s="61"/>
      <c r="W19" s="183"/>
      <c r="X19" s="182"/>
      <c r="Y19" s="186"/>
      <c r="Z19" s="186"/>
      <c r="AA19" s="186"/>
      <c r="AB19" s="189">
        <f t="shared" si="10"/>
      </c>
    </row>
    <row r="20" spans="1:28" s="10" customFormat="1" ht="13.5" hidden="1">
      <c r="A20" s="7">
        <v>17</v>
      </c>
      <c r="B20" s="52"/>
      <c r="C20" s="36"/>
      <c r="D20" s="36"/>
      <c r="E20" s="39">
        <f t="shared" si="12"/>
        <v>0</v>
      </c>
      <c r="F20" s="108">
        <f ca="1" t="shared" si="13"/>
        <v>101</v>
      </c>
      <c r="G20" s="37"/>
      <c r="H20" s="35">
        <f t="shared" si="2"/>
        <v>1</v>
      </c>
      <c r="K20" s="12"/>
      <c r="L20" s="131">
        <f t="shared" si="4"/>
        <v>0</v>
      </c>
      <c r="M20" s="125" t="s">
        <v>27</v>
      </c>
      <c r="N20" s="125"/>
      <c r="O20" s="224" t="s">
        <v>50</v>
      </c>
      <c r="P20" s="224"/>
      <c r="Q20" s="120">
        <v>19</v>
      </c>
      <c r="R20" s="60"/>
      <c r="S20" s="62" t="s">
        <v>39</v>
      </c>
      <c r="T20" s="62"/>
      <c r="U20" s="223" t="s">
        <v>54</v>
      </c>
      <c r="V20" s="223"/>
      <c r="W20" s="183"/>
      <c r="X20" s="182">
        <v>9</v>
      </c>
      <c r="Y20" s="186"/>
      <c r="Z20" s="186"/>
      <c r="AA20" s="186"/>
      <c r="AB20" s="189">
        <f t="shared" si="10"/>
      </c>
    </row>
    <row r="21" spans="1:28" s="10" customFormat="1" ht="13.5" hidden="1">
      <c r="A21" s="7">
        <v>18</v>
      </c>
      <c r="B21" s="52"/>
      <c r="C21" s="36"/>
      <c r="D21" s="36"/>
      <c r="E21" s="39">
        <f t="shared" si="12"/>
        <v>0</v>
      </c>
      <c r="F21" s="108">
        <f ca="1" t="shared" si="13"/>
        <v>101</v>
      </c>
      <c r="G21" s="37"/>
      <c r="H21" s="35">
        <f t="shared" si="2"/>
        <v>1</v>
      </c>
      <c r="K21" s="12"/>
      <c r="L21" s="131">
        <f t="shared" si="4"/>
        <v>0</v>
      </c>
      <c r="M21" s="125" t="s">
        <v>28</v>
      </c>
      <c r="N21" s="125"/>
      <c r="O21" s="224" t="s">
        <v>54</v>
      </c>
      <c r="P21" s="224"/>
      <c r="Q21" s="120">
        <v>15</v>
      </c>
      <c r="R21" s="60"/>
      <c r="S21" s="62" t="s">
        <v>40</v>
      </c>
      <c r="T21" s="62"/>
      <c r="U21" s="223" t="s">
        <v>50</v>
      </c>
      <c r="V21" s="223"/>
      <c r="W21" s="183"/>
      <c r="X21" s="182">
        <v>12</v>
      </c>
      <c r="Y21" s="186"/>
      <c r="Z21" s="186"/>
      <c r="AA21" s="186"/>
      <c r="AB21" s="189">
        <f t="shared" si="10"/>
      </c>
    </row>
    <row r="22" spans="1:28" s="10" customFormat="1" ht="13.5" hidden="1">
      <c r="A22" s="7">
        <v>19</v>
      </c>
      <c r="B22" s="52"/>
      <c r="C22" s="36"/>
      <c r="D22" s="36"/>
      <c r="E22" s="39">
        <f t="shared" si="12"/>
        <v>0</v>
      </c>
      <c r="F22" s="108">
        <f ca="1" t="shared" si="13"/>
        <v>101</v>
      </c>
      <c r="G22" s="37"/>
      <c r="H22" s="35">
        <f t="shared" si="2"/>
        <v>1</v>
      </c>
      <c r="K22" s="12"/>
      <c r="L22" s="131">
        <f t="shared" si="4"/>
        <v>0</v>
      </c>
      <c r="M22" s="125" t="s">
        <v>29</v>
      </c>
      <c r="N22" s="125"/>
      <c r="O22" s="224" t="s">
        <v>68</v>
      </c>
      <c r="P22" s="224"/>
      <c r="Q22" s="120">
        <v>15</v>
      </c>
      <c r="R22" s="60"/>
      <c r="S22" s="62" t="s">
        <v>41</v>
      </c>
      <c r="T22" s="62"/>
      <c r="U22" s="223" t="s">
        <v>54</v>
      </c>
      <c r="V22" s="223"/>
      <c r="W22" s="183"/>
      <c r="X22" s="182">
        <v>20</v>
      </c>
      <c r="Y22" s="186"/>
      <c r="Z22" s="186"/>
      <c r="AA22" s="186"/>
      <c r="AB22" s="189">
        <f t="shared" si="10"/>
      </c>
    </row>
    <row r="23" spans="1:28" s="10" customFormat="1" ht="13.5" hidden="1">
      <c r="A23" s="7">
        <v>20</v>
      </c>
      <c r="B23" s="52"/>
      <c r="C23" s="36"/>
      <c r="D23" s="36"/>
      <c r="E23" s="39">
        <f t="shared" si="12"/>
        <v>0</v>
      </c>
      <c r="F23" s="108">
        <f ca="1" t="shared" si="13"/>
        <v>101</v>
      </c>
      <c r="G23" s="37"/>
      <c r="H23" s="35">
        <f t="shared" si="2"/>
        <v>1</v>
      </c>
      <c r="K23" s="12"/>
      <c r="L23" s="131">
        <f t="shared" si="4"/>
        <v>0</v>
      </c>
      <c r="M23" s="125" t="s">
        <v>30</v>
      </c>
      <c r="N23" s="125"/>
      <c r="O23" s="224" t="s">
        <v>50</v>
      </c>
      <c r="P23" s="224"/>
      <c r="Q23" s="120">
        <v>0</v>
      </c>
      <c r="R23" s="60"/>
      <c r="S23" s="62" t="s">
        <v>42</v>
      </c>
      <c r="T23" s="62"/>
      <c r="U23" s="223" t="s">
        <v>54</v>
      </c>
      <c r="V23" s="223"/>
      <c r="W23" s="183"/>
      <c r="X23" s="182">
        <v>0</v>
      </c>
      <c r="Y23" s="186"/>
      <c r="Z23" s="186"/>
      <c r="AA23" s="186"/>
      <c r="AB23" s="189">
        <f t="shared" si="10"/>
      </c>
    </row>
    <row r="24" spans="1:28" s="10" customFormat="1" ht="13.5" hidden="1">
      <c r="A24" s="7">
        <v>21</v>
      </c>
      <c r="B24" s="52"/>
      <c r="C24" s="36"/>
      <c r="D24" s="36"/>
      <c r="E24" s="39">
        <f t="shared" si="12"/>
        <v>0</v>
      </c>
      <c r="F24" s="108">
        <f ca="1" t="shared" si="13"/>
        <v>101</v>
      </c>
      <c r="G24" s="37"/>
      <c r="H24" s="35">
        <f t="shared" si="2"/>
        <v>1</v>
      </c>
      <c r="K24" s="12"/>
      <c r="L24" s="131">
        <f t="shared" si="4"/>
        <v>0</v>
      </c>
      <c r="M24" s="126"/>
      <c r="N24" s="126"/>
      <c r="O24" s="126"/>
      <c r="P24" s="126"/>
      <c r="Q24" s="126"/>
      <c r="R24" s="78"/>
      <c r="S24" s="77"/>
      <c r="T24" s="77"/>
      <c r="U24" s="77"/>
      <c r="V24" s="77"/>
      <c r="W24" s="77"/>
      <c r="X24" s="191"/>
      <c r="Y24" s="186"/>
      <c r="Z24" s="186"/>
      <c r="AA24" s="186"/>
      <c r="AB24" s="189">
        <f t="shared" si="10"/>
      </c>
    </row>
    <row r="25" spans="1:28" s="10" customFormat="1" ht="13.5" hidden="1">
      <c r="A25" s="7">
        <v>22</v>
      </c>
      <c r="B25" s="52"/>
      <c r="C25" s="36"/>
      <c r="D25" s="36"/>
      <c r="E25" s="39">
        <f t="shared" si="12"/>
        <v>0</v>
      </c>
      <c r="F25" s="108">
        <f ca="1" t="shared" si="13"/>
        <v>101</v>
      </c>
      <c r="G25" s="37"/>
      <c r="H25" s="35">
        <f t="shared" si="2"/>
        <v>1</v>
      </c>
      <c r="K25" s="12"/>
      <c r="L25" s="131">
        <f t="shared" si="4"/>
        <v>0</v>
      </c>
      <c r="M25" s="119"/>
      <c r="N25" s="119"/>
      <c r="O25" s="119"/>
      <c r="P25" s="119"/>
      <c r="Q25" s="120"/>
      <c r="R25" s="60"/>
      <c r="S25" s="61"/>
      <c r="T25" s="61"/>
      <c r="U25" s="61"/>
      <c r="V25" s="61"/>
      <c r="W25" s="183"/>
      <c r="X25" s="182"/>
      <c r="Y25" s="186"/>
      <c r="Z25" s="186"/>
      <c r="AA25" s="186"/>
      <c r="AB25" s="189">
        <f t="shared" si="10"/>
      </c>
    </row>
    <row r="26" spans="1:28" s="10" customFormat="1" ht="13.5" hidden="1">
      <c r="A26" s="7">
        <v>23</v>
      </c>
      <c r="B26" s="52"/>
      <c r="C26" s="36"/>
      <c r="D26" s="36"/>
      <c r="E26" s="39">
        <f t="shared" si="12"/>
        <v>0</v>
      </c>
      <c r="F26" s="108">
        <f ca="1" t="shared" si="13"/>
        <v>101</v>
      </c>
      <c r="G26" s="37"/>
      <c r="H26" s="35">
        <f t="shared" si="2"/>
        <v>1</v>
      </c>
      <c r="K26" s="12"/>
      <c r="L26" s="131">
        <f t="shared" si="4"/>
        <v>0</v>
      </c>
      <c r="M26" s="125" t="s">
        <v>31</v>
      </c>
      <c r="N26" s="125"/>
      <c r="O26" s="224"/>
      <c r="P26" s="224"/>
      <c r="Q26" s="120">
        <v>0</v>
      </c>
      <c r="R26" s="60"/>
      <c r="S26" s="62" t="s">
        <v>43</v>
      </c>
      <c r="T26" s="62"/>
      <c r="U26" s="223"/>
      <c r="V26" s="223"/>
      <c r="W26" s="183"/>
      <c r="X26" s="182">
        <v>0</v>
      </c>
      <c r="Y26" s="186"/>
      <c r="Z26" s="186"/>
      <c r="AA26" s="186"/>
      <c r="AB26" s="189">
        <f t="shared" si="10"/>
      </c>
    </row>
    <row r="27" spans="1:28" s="10" customFormat="1" ht="13.5" hidden="1">
      <c r="A27" s="7">
        <v>24</v>
      </c>
      <c r="B27" s="52"/>
      <c r="C27" s="36"/>
      <c r="D27" s="36"/>
      <c r="E27" s="39">
        <f t="shared" si="12"/>
        <v>0</v>
      </c>
      <c r="F27" s="108">
        <f ca="1" t="shared" si="13"/>
        <v>101</v>
      </c>
      <c r="G27" s="37"/>
      <c r="H27" s="35">
        <f t="shared" si="2"/>
        <v>1</v>
      </c>
      <c r="K27" s="12"/>
      <c r="L27" s="131">
        <f t="shared" si="4"/>
        <v>0</v>
      </c>
      <c r="M27" s="125" t="s">
        <v>32</v>
      </c>
      <c r="N27" s="125"/>
      <c r="O27" s="224"/>
      <c r="P27" s="224"/>
      <c r="Q27" s="120">
        <v>0</v>
      </c>
      <c r="R27" s="60"/>
      <c r="S27" s="62" t="s">
        <v>44</v>
      </c>
      <c r="T27" s="62"/>
      <c r="U27" s="223"/>
      <c r="V27" s="223"/>
      <c r="W27" s="183"/>
      <c r="X27" s="182">
        <v>0</v>
      </c>
      <c r="Y27" s="186"/>
      <c r="Z27" s="186"/>
      <c r="AA27" s="186"/>
      <c r="AB27" s="189">
        <f t="shared" si="10"/>
      </c>
    </row>
    <row r="28" spans="1:28" s="10" customFormat="1" ht="13.5" hidden="1">
      <c r="A28" s="7">
        <v>25</v>
      </c>
      <c r="B28" s="52"/>
      <c r="C28" s="36"/>
      <c r="D28" s="36"/>
      <c r="E28" s="39">
        <f t="shared" si="12"/>
        <v>0</v>
      </c>
      <c r="F28" s="108">
        <f ca="1" t="shared" si="13"/>
        <v>101</v>
      </c>
      <c r="G28" s="37"/>
      <c r="H28" s="35">
        <f t="shared" si="2"/>
        <v>1</v>
      </c>
      <c r="L28" s="131">
        <f t="shared" si="4"/>
        <v>0</v>
      </c>
      <c r="M28" s="125" t="s">
        <v>33</v>
      </c>
      <c r="N28" s="125"/>
      <c r="O28" s="224"/>
      <c r="P28" s="224"/>
      <c r="Q28" s="120">
        <v>0</v>
      </c>
      <c r="R28" s="60"/>
      <c r="S28" s="62" t="s">
        <v>38</v>
      </c>
      <c r="T28" s="62"/>
      <c r="U28" s="223"/>
      <c r="V28" s="223"/>
      <c r="W28" s="183"/>
      <c r="X28" s="182">
        <v>0</v>
      </c>
      <c r="Y28" s="186"/>
      <c r="Z28" s="186"/>
      <c r="AA28" s="186"/>
      <c r="AB28" s="189">
        <f t="shared" si="10"/>
      </c>
    </row>
    <row r="29" spans="1:28" s="10" customFormat="1" ht="13.5" hidden="1">
      <c r="A29" s="7">
        <v>26</v>
      </c>
      <c r="B29" s="52"/>
      <c r="C29" s="36"/>
      <c r="D29" s="36"/>
      <c r="E29" s="39">
        <f t="shared" si="12"/>
        <v>0</v>
      </c>
      <c r="F29" s="108">
        <f ca="1" t="shared" si="13"/>
        <v>101</v>
      </c>
      <c r="G29" s="37"/>
      <c r="H29" s="35">
        <f t="shared" si="2"/>
        <v>1</v>
      </c>
      <c r="L29" s="131">
        <f t="shared" si="4"/>
        <v>0</v>
      </c>
      <c r="M29" s="125" t="s">
        <v>34</v>
      </c>
      <c r="N29" s="125"/>
      <c r="O29" s="224"/>
      <c r="P29" s="224"/>
      <c r="Q29" s="120">
        <v>0</v>
      </c>
      <c r="R29" s="60"/>
      <c r="S29" s="62" t="s">
        <v>45</v>
      </c>
      <c r="T29" s="62"/>
      <c r="U29" s="223"/>
      <c r="V29" s="223"/>
      <c r="W29" s="183"/>
      <c r="X29" s="182">
        <v>0</v>
      </c>
      <c r="Y29" s="186"/>
      <c r="Z29" s="186"/>
      <c r="AA29" s="186"/>
      <c r="AB29" s="189">
        <f t="shared" si="10"/>
      </c>
    </row>
    <row r="30" spans="1:28" s="10" customFormat="1" ht="13.5" hidden="1">
      <c r="A30" s="7">
        <v>27</v>
      </c>
      <c r="B30" s="52"/>
      <c r="C30" s="36"/>
      <c r="D30" s="36"/>
      <c r="E30" s="39">
        <f t="shared" si="12"/>
        <v>0</v>
      </c>
      <c r="F30" s="108">
        <f ca="1" t="shared" si="13"/>
        <v>101</v>
      </c>
      <c r="G30" s="37"/>
      <c r="H30" s="35">
        <f t="shared" si="2"/>
        <v>1</v>
      </c>
      <c r="L30" s="131">
        <f t="shared" si="4"/>
        <v>0</v>
      </c>
      <c r="M30" s="127"/>
      <c r="N30" s="127"/>
      <c r="O30" s="127"/>
      <c r="P30" s="127"/>
      <c r="Q30" s="127"/>
      <c r="R30" s="79"/>
      <c r="S30" s="79"/>
      <c r="T30" s="79"/>
      <c r="U30" s="79"/>
      <c r="V30" s="79"/>
      <c r="W30" s="135"/>
      <c r="X30" s="192"/>
      <c r="Y30" s="186"/>
      <c r="Z30" s="186"/>
      <c r="AA30" s="186"/>
      <c r="AB30" s="189">
        <f t="shared" si="10"/>
      </c>
    </row>
    <row r="31" spans="1:28" s="10" customFormat="1" ht="13.5" hidden="1">
      <c r="A31" s="7">
        <v>28</v>
      </c>
      <c r="B31" s="52"/>
      <c r="C31" s="36"/>
      <c r="D31" s="36"/>
      <c r="E31" s="39">
        <f t="shared" si="12"/>
        <v>0</v>
      </c>
      <c r="F31" s="108">
        <f ca="1" t="shared" si="13"/>
        <v>101</v>
      </c>
      <c r="G31" s="34"/>
      <c r="H31" s="35">
        <f t="shared" si="2"/>
        <v>1</v>
      </c>
      <c r="L31" s="131">
        <f t="shared" si="4"/>
        <v>0</v>
      </c>
      <c r="M31" s="119"/>
      <c r="N31" s="119"/>
      <c r="O31" s="119"/>
      <c r="P31" s="119"/>
      <c r="Q31" s="120"/>
      <c r="R31" s="60"/>
      <c r="S31" s="61"/>
      <c r="T31" s="61"/>
      <c r="U31" s="61"/>
      <c r="V31" s="61"/>
      <c r="W31" s="183"/>
      <c r="X31" s="182"/>
      <c r="Y31" s="186"/>
      <c r="Z31" s="186"/>
      <c r="AA31" s="186"/>
      <c r="AB31" s="189">
        <f t="shared" si="10"/>
      </c>
    </row>
    <row r="32" spans="1:28" s="10" customFormat="1" ht="13.5" hidden="1">
      <c r="A32" s="7">
        <v>29</v>
      </c>
      <c r="B32" s="52"/>
      <c r="C32" s="36"/>
      <c r="D32" s="36"/>
      <c r="E32" s="39">
        <f t="shared" si="12"/>
        <v>0</v>
      </c>
      <c r="F32" s="108">
        <f ca="1" t="shared" si="13"/>
        <v>101</v>
      </c>
      <c r="G32" s="37"/>
      <c r="H32" s="35">
        <f t="shared" si="2"/>
        <v>1</v>
      </c>
      <c r="L32" s="131">
        <f t="shared" si="4"/>
        <v>0</v>
      </c>
      <c r="M32" s="119"/>
      <c r="N32" s="119"/>
      <c r="O32" s="119"/>
      <c r="P32" s="119"/>
      <c r="Q32" s="120"/>
      <c r="R32" s="60"/>
      <c r="S32" s="61"/>
      <c r="T32" s="61"/>
      <c r="U32" s="61"/>
      <c r="V32" s="61"/>
      <c r="W32" s="183"/>
      <c r="X32" s="182"/>
      <c r="Y32" s="186"/>
      <c r="Z32" s="186"/>
      <c r="AA32" s="186"/>
      <c r="AB32" s="189">
        <f t="shared" si="10"/>
      </c>
    </row>
    <row r="33" spans="1:28" s="10" customFormat="1" ht="13.5" hidden="1">
      <c r="A33" s="7">
        <v>30</v>
      </c>
      <c r="B33" s="52"/>
      <c r="C33" s="36"/>
      <c r="D33" s="36"/>
      <c r="E33" s="39">
        <f t="shared" si="12"/>
        <v>0</v>
      </c>
      <c r="F33" s="108">
        <f ca="1" t="shared" si="13"/>
        <v>101</v>
      </c>
      <c r="G33" s="37"/>
      <c r="H33" s="35">
        <f t="shared" si="2"/>
        <v>1</v>
      </c>
      <c r="L33" s="131">
        <f t="shared" si="4"/>
        <v>0</v>
      </c>
      <c r="M33" s="125" t="s">
        <v>49</v>
      </c>
      <c r="N33" s="125"/>
      <c r="O33" s="125"/>
      <c r="P33" s="119"/>
      <c r="Q33" s="128">
        <f>SUM(Q20:Q29)</f>
        <v>49</v>
      </c>
      <c r="R33" s="63"/>
      <c r="S33" s="62" t="s">
        <v>49</v>
      </c>
      <c r="T33" s="62"/>
      <c r="U33" s="62"/>
      <c r="V33" s="61"/>
      <c r="W33" s="183"/>
      <c r="X33" s="193">
        <f>SUM(X20:X29)</f>
        <v>41</v>
      </c>
      <c r="Y33" s="186"/>
      <c r="Z33" s="186"/>
      <c r="AA33" s="186"/>
      <c r="AB33" s="189">
        <f t="shared" si="10"/>
      </c>
    </row>
    <row r="34" spans="1:28" s="10" customFormat="1" ht="12" customHeight="1" hidden="1">
      <c r="A34" s="7">
        <v>31</v>
      </c>
      <c r="B34" s="52"/>
      <c r="C34" s="36"/>
      <c r="D34" s="36"/>
      <c r="E34" s="39">
        <f t="shared" si="12"/>
        <v>0</v>
      </c>
      <c r="F34" s="108">
        <f ca="1" t="shared" si="13"/>
        <v>101</v>
      </c>
      <c r="G34" s="37"/>
      <c r="H34" s="35">
        <f t="shared" si="2"/>
        <v>1</v>
      </c>
      <c r="K34" s="12"/>
      <c r="L34" s="131">
        <f t="shared" si="4"/>
        <v>0</v>
      </c>
      <c r="M34" s="129"/>
      <c r="N34" s="129"/>
      <c r="O34" s="129"/>
      <c r="P34" s="129"/>
      <c r="Q34" s="129"/>
      <c r="R34" s="80"/>
      <c r="S34" s="80"/>
      <c r="T34" s="80"/>
      <c r="U34" s="81"/>
      <c r="V34" s="80"/>
      <c r="W34" s="80"/>
      <c r="X34" s="192"/>
      <c r="Y34" s="186"/>
      <c r="Z34" s="186"/>
      <c r="AA34" s="186"/>
      <c r="AB34" s="189">
        <f t="shared" si="10"/>
      </c>
    </row>
    <row r="35" spans="1:28" s="10" customFormat="1" ht="15" hidden="1">
      <c r="A35" s="7">
        <v>32</v>
      </c>
      <c r="B35" s="52"/>
      <c r="C35" s="36"/>
      <c r="D35" s="96"/>
      <c r="E35" s="39">
        <f t="shared" si="12"/>
        <v>0</v>
      </c>
      <c r="F35" s="108">
        <f ca="1" t="shared" si="13"/>
        <v>101</v>
      </c>
      <c r="G35" s="37"/>
      <c r="H35" s="35">
        <f t="shared" si="2"/>
        <v>1</v>
      </c>
      <c r="L35" s="131">
        <f t="shared" si="4"/>
        <v>0</v>
      </c>
      <c r="M35" s="225" t="s">
        <v>35</v>
      </c>
      <c r="N35" s="225"/>
      <c r="O35" s="245">
        <v>0.5793171296296297</v>
      </c>
      <c r="P35" s="225"/>
      <c r="Q35" s="130" t="s">
        <v>36</v>
      </c>
      <c r="R35" s="82"/>
      <c r="S35" s="80"/>
      <c r="T35" s="80"/>
      <c r="U35" s="80"/>
      <c r="V35" s="80"/>
      <c r="W35" s="80"/>
      <c r="X35" s="192"/>
      <c r="Y35" s="186"/>
      <c r="Z35" s="186"/>
      <c r="AA35" s="186"/>
      <c r="AB35" s="189">
        <f t="shared" si="10"/>
      </c>
    </row>
    <row r="36" spans="1:28" s="10" customFormat="1" ht="16.5" customHeight="1" thickBot="1">
      <c r="A36" s="105"/>
      <c r="B36" s="105"/>
      <c r="C36" s="106" t="s">
        <v>66</v>
      </c>
      <c r="D36" s="104" t="s">
        <v>67</v>
      </c>
      <c r="E36" s="39"/>
      <c r="F36" s="38"/>
      <c r="G36" s="33"/>
      <c r="H36" s="40"/>
      <c r="L36" s="131"/>
      <c r="M36" s="211"/>
      <c r="N36" s="234"/>
      <c r="O36" s="234"/>
      <c r="P36" s="117"/>
      <c r="Q36" s="117"/>
      <c r="X36" s="186"/>
      <c r="Y36" s="186"/>
      <c r="Z36" s="186"/>
      <c r="AA36" s="186"/>
      <c r="AB36" s="189"/>
    </row>
    <row r="37" spans="1:28" s="10" customFormat="1" ht="16.5" customHeight="1">
      <c r="A37" s="90" t="s">
        <v>37</v>
      </c>
      <c r="B37" s="95"/>
      <c r="C37" s="239">
        <f>SUMPRODUCT(LEN(C4:C27)-LEN(SUBSTITUTE(LOWER(C4:C27),"x",)))</f>
        <v>0</v>
      </c>
      <c r="D37" s="242">
        <f>SUMPRODUCT(LEN(D4:D27)-LEN(SUBSTITUTE(LOWER(D4:D27),"x",)))</f>
        <v>0</v>
      </c>
      <c r="G37" s="51">
        <f>SUM(E4:E35)</f>
        <v>10</v>
      </c>
      <c r="H37" s="9"/>
      <c r="I37" s="10">
        <f>SUM(I4:I15)</f>
        <v>10</v>
      </c>
      <c r="K37" s="12"/>
      <c r="L37" s="131"/>
      <c r="O37" s="241">
        <f ca="1">NOW()-TODAY()</f>
        <v>0.4141450231472845</v>
      </c>
      <c r="P37" s="241"/>
      <c r="Q37" s="241"/>
      <c r="X37" s="186"/>
      <c r="Y37" s="186"/>
      <c r="Z37" s="186"/>
      <c r="AA37" s="186"/>
      <c r="AB37" s="186"/>
    </row>
    <row r="38" spans="3:28" s="10" customFormat="1" ht="15" customHeight="1" thickBot="1">
      <c r="C38" s="240"/>
      <c r="D38" s="243"/>
      <c r="E38" s="42"/>
      <c r="G38" s="50" t="s">
        <v>56</v>
      </c>
      <c r="H38" s="32">
        <f>SUMPRODUCT(LEN(H4:H27)-LEN(SUBSTITUTE(LOWER(H4:H27),"2",)))</f>
        <v>10</v>
      </c>
      <c r="K38" s="12"/>
      <c r="L38" s="131">
        <f>SUM(L4:L35)</f>
        <v>10</v>
      </c>
      <c r="O38" s="241"/>
      <c r="P38" s="241"/>
      <c r="Q38" s="241"/>
      <c r="X38" s="186"/>
      <c r="Y38" s="186"/>
      <c r="Z38" s="186"/>
      <c r="AA38" s="186"/>
      <c r="AB38" s="186"/>
    </row>
    <row r="39" spans="1:28" s="44" customFormat="1" ht="15.75" customHeight="1">
      <c r="A39" s="164"/>
      <c r="B39" s="43"/>
      <c r="C39" s="43"/>
      <c r="D39" s="94"/>
      <c r="E39" s="11"/>
      <c r="H39" s="32"/>
      <c r="I39" s="32"/>
      <c r="J39" s="32"/>
      <c r="K39" s="32"/>
      <c r="L39" s="18"/>
      <c r="X39" s="186"/>
      <c r="Y39" s="186"/>
      <c r="Z39" s="194"/>
      <c r="AA39" s="194"/>
      <c r="AB39" s="194"/>
    </row>
    <row r="40" spans="1:28" s="10" customFormat="1" ht="21" customHeight="1">
      <c r="A40" s="163"/>
      <c r="D40" s="97" t="s">
        <v>69</v>
      </c>
      <c r="E40" s="42"/>
      <c r="G40" s="83" t="s">
        <v>53</v>
      </c>
      <c r="H40" s="84"/>
      <c r="I40" s="64"/>
      <c r="J40" s="64"/>
      <c r="K40" s="85"/>
      <c r="L40" s="64"/>
      <c r="M40" s="62" t="s">
        <v>60</v>
      </c>
      <c r="N40" s="64"/>
      <c r="O40" s="64"/>
      <c r="P40" s="64"/>
      <c r="Q40" s="64"/>
      <c r="R40" s="64"/>
      <c r="S40" s="64"/>
      <c r="T40" s="64"/>
      <c r="U40" s="65"/>
      <c r="V40" s="64"/>
      <c r="W40" s="80"/>
      <c r="X40" s="192"/>
      <c r="Y40" s="186"/>
      <c r="Z40" s="186"/>
      <c r="AA40" s="186"/>
      <c r="AB40" s="186"/>
    </row>
    <row r="41" spans="2:28" s="10" customFormat="1" ht="12.75">
      <c r="B41" s="98" t="s">
        <v>57</v>
      </c>
      <c r="C41" s="8"/>
      <c r="D41" s="95"/>
      <c r="E41" s="11"/>
      <c r="G41" s="86"/>
      <c r="H41" s="84"/>
      <c r="I41" s="87"/>
      <c r="J41" s="87"/>
      <c r="K41" s="87"/>
      <c r="L41" s="64"/>
      <c r="M41" s="62" t="s">
        <v>59</v>
      </c>
      <c r="N41" s="64"/>
      <c r="O41" s="64"/>
      <c r="P41" s="64"/>
      <c r="Q41" s="64"/>
      <c r="R41" s="64"/>
      <c r="S41" s="64"/>
      <c r="T41" s="64"/>
      <c r="U41" s="65"/>
      <c r="V41" s="64"/>
      <c r="W41" s="80"/>
      <c r="X41" s="192"/>
      <c r="Y41" s="186"/>
      <c r="Z41" s="186"/>
      <c r="AA41" s="186"/>
      <c r="AB41" s="186"/>
    </row>
    <row r="42" spans="2:28" s="10" customFormat="1" ht="20.25" customHeight="1">
      <c r="B42" s="98" t="s">
        <v>58</v>
      </c>
      <c r="D42" s="89"/>
      <c r="E42" s="11"/>
      <c r="G42" s="83" t="s">
        <v>51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80"/>
      <c r="X42" s="192"/>
      <c r="Y42" s="186"/>
      <c r="Z42" s="186"/>
      <c r="AA42" s="186"/>
      <c r="AB42" s="186"/>
    </row>
    <row r="43" spans="2:28" s="10" customFormat="1" ht="15" customHeight="1">
      <c r="B43" s="99" t="s">
        <v>12</v>
      </c>
      <c r="C43" s="49"/>
      <c r="D43" s="88"/>
      <c r="E43" s="49"/>
      <c r="F43" s="49"/>
      <c r="G43" s="83" t="s">
        <v>63</v>
      </c>
      <c r="H43" s="88"/>
      <c r="I43" s="88"/>
      <c r="J43" s="88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64"/>
      <c r="W43" s="80"/>
      <c r="X43" s="192"/>
      <c r="Y43" s="186"/>
      <c r="Z43" s="186"/>
      <c r="AA43" s="186"/>
      <c r="AB43" s="186"/>
    </row>
    <row r="44" spans="2:28" s="10" customFormat="1" ht="15" customHeight="1">
      <c r="B44" s="48"/>
      <c r="C44" s="49"/>
      <c r="D44" s="49"/>
      <c r="E44" s="49"/>
      <c r="F44" s="49"/>
      <c r="G44" s="83" t="s">
        <v>64</v>
      </c>
      <c r="H44" s="88"/>
      <c r="I44" s="88"/>
      <c r="J44" s="88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  <c r="V44" s="64"/>
      <c r="W44" s="80"/>
      <c r="X44" s="192"/>
      <c r="Y44" s="186"/>
      <c r="Z44" s="186"/>
      <c r="AA44" s="186"/>
      <c r="AB44" s="186"/>
    </row>
    <row r="45" spans="1:28" s="10" customFormat="1" ht="15" customHeight="1">
      <c r="A45" s="80"/>
      <c r="B45" s="89"/>
      <c r="C45" s="88"/>
      <c r="D45" s="88"/>
      <c r="E45" s="88"/>
      <c r="F45" s="88"/>
      <c r="G45" s="83" t="s">
        <v>65</v>
      </c>
      <c r="H45" s="88"/>
      <c r="I45" s="88"/>
      <c r="J45" s="88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64"/>
      <c r="W45" s="80"/>
      <c r="X45" s="192"/>
      <c r="Y45" s="186"/>
      <c r="Z45" s="186"/>
      <c r="AA45" s="186"/>
      <c r="AB45" s="186"/>
    </row>
    <row r="46" spans="1:28" s="10" customFormat="1" ht="20.25" customHeight="1">
      <c r="A46" s="90"/>
      <c r="B46" s="85" t="s">
        <v>48</v>
      </c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X46" s="186"/>
      <c r="Y46" s="186"/>
      <c r="Z46" s="186"/>
      <c r="AA46" s="186"/>
      <c r="AB46" s="186"/>
    </row>
    <row r="47" spans="1:28" s="10" customFormat="1" ht="12.75">
      <c r="A47" s="91"/>
      <c r="B47" s="92"/>
      <c r="C47" s="92"/>
      <c r="D47" s="92"/>
      <c r="E47" s="92"/>
      <c r="F47" s="92"/>
      <c r="G47" s="92"/>
      <c r="H47" s="92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X47" s="186"/>
      <c r="Y47" s="186"/>
      <c r="Z47" s="186"/>
      <c r="AA47" s="186"/>
      <c r="AB47" s="186"/>
    </row>
    <row r="48" spans="1:28" s="10" customFormat="1" ht="30" customHeight="1">
      <c r="A48" s="91"/>
      <c r="B48" s="93" t="s">
        <v>61</v>
      </c>
      <c r="C48" s="92"/>
      <c r="D48" s="92"/>
      <c r="E48" s="92"/>
      <c r="F48" s="92"/>
      <c r="G48" s="92"/>
      <c r="H48" s="92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X48" s="186"/>
      <c r="Y48" s="186"/>
      <c r="Z48" s="186"/>
      <c r="AA48" s="186"/>
      <c r="AB48" s="186"/>
    </row>
    <row r="49" spans="1:28" s="10" customFormat="1" ht="31.5">
      <c r="A49" s="91"/>
      <c r="B49" s="93" t="s">
        <v>62</v>
      </c>
      <c r="C49" s="92"/>
      <c r="D49" s="92"/>
      <c r="E49" s="92"/>
      <c r="F49" s="92"/>
      <c r="G49" s="92"/>
      <c r="H49" s="92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1"/>
      <c r="X49" s="186"/>
      <c r="Y49" s="186"/>
      <c r="Z49" s="186"/>
      <c r="AA49" s="186"/>
      <c r="AB49" s="186"/>
    </row>
    <row r="50" spans="24:28" s="10" customFormat="1" ht="12.75">
      <c r="X50" s="186"/>
      <c r="Y50" s="186"/>
      <c r="Z50" s="186"/>
      <c r="AA50" s="186"/>
      <c r="AB50" s="186"/>
    </row>
    <row r="51" spans="24:28" s="10" customFormat="1" ht="12.75">
      <c r="X51" s="186"/>
      <c r="Y51" s="186"/>
      <c r="Z51" s="186"/>
      <c r="AA51" s="186"/>
      <c r="AB51" s="186"/>
    </row>
    <row r="52" spans="24:28" s="10" customFormat="1" ht="12.75">
      <c r="X52" s="186"/>
      <c r="Y52" s="186"/>
      <c r="Z52" s="186"/>
      <c r="AA52" s="186"/>
      <c r="AB52" s="186"/>
    </row>
    <row r="53" spans="1:28" s="10" customFormat="1" ht="12.75">
      <c r="A53" s="7"/>
      <c r="B53" s="13"/>
      <c r="C53" s="13"/>
      <c r="D53" s="13"/>
      <c r="E53" s="13"/>
      <c r="F53" s="13"/>
      <c r="G53" s="13"/>
      <c r="H53" s="13"/>
      <c r="I53" s="12"/>
      <c r="J53" s="12"/>
      <c r="K53" s="12"/>
      <c r="U53" s="23"/>
      <c r="X53" s="186"/>
      <c r="Y53" s="186"/>
      <c r="Z53" s="186"/>
      <c r="AA53" s="186"/>
      <c r="AB53" s="186"/>
    </row>
    <row r="54" spans="1:28" s="10" customFormat="1" ht="12.75">
      <c r="A54" s="14"/>
      <c r="B54" s="15"/>
      <c r="C54" s="15"/>
      <c r="D54" s="15"/>
      <c r="E54" s="15"/>
      <c r="F54" s="15"/>
      <c r="G54" s="15"/>
      <c r="H54" s="15"/>
      <c r="U54" s="23"/>
      <c r="X54" s="186"/>
      <c r="Y54" s="186"/>
      <c r="Z54" s="186"/>
      <c r="AA54" s="186"/>
      <c r="AB54" s="186"/>
    </row>
    <row r="55" spans="1:28" s="10" customFormat="1" ht="12.75">
      <c r="A55" s="14"/>
      <c r="B55" s="15"/>
      <c r="C55" s="15"/>
      <c r="D55" s="15"/>
      <c r="E55" s="15"/>
      <c r="F55" s="15"/>
      <c r="G55" s="15"/>
      <c r="H55" s="15"/>
      <c r="U55" s="23"/>
      <c r="X55" s="186"/>
      <c r="Y55" s="186"/>
      <c r="Z55" s="186"/>
      <c r="AA55" s="186"/>
      <c r="AB55" s="186"/>
    </row>
    <row r="56" spans="1:28" s="10" customFormat="1" ht="18">
      <c r="A56" s="16"/>
      <c r="B56" s="17"/>
      <c r="C56" s="17"/>
      <c r="D56" s="17"/>
      <c r="E56" s="17"/>
      <c r="F56" s="17"/>
      <c r="G56" s="17"/>
      <c r="H56" s="17"/>
      <c r="U56" s="23"/>
      <c r="X56" s="186"/>
      <c r="Y56" s="186"/>
      <c r="Z56" s="186"/>
      <c r="AA56" s="186"/>
      <c r="AB56" s="186"/>
    </row>
    <row r="57" spans="1:28" s="10" customFormat="1" ht="12.75">
      <c r="A57" s="14"/>
      <c r="B57" s="18"/>
      <c r="C57" s="18"/>
      <c r="D57" s="18"/>
      <c r="E57" s="18"/>
      <c r="F57" s="18"/>
      <c r="G57" s="18"/>
      <c r="H57" s="18"/>
      <c r="U57" s="23"/>
      <c r="X57" s="186"/>
      <c r="Y57" s="186"/>
      <c r="Z57" s="186"/>
      <c r="AA57" s="186"/>
      <c r="AB57" s="186"/>
    </row>
    <row r="58" spans="1:28" s="10" customFormat="1" ht="12.75">
      <c r="A58" s="14"/>
      <c r="B58" s="18"/>
      <c r="C58" s="18"/>
      <c r="D58" s="18"/>
      <c r="E58" s="18"/>
      <c r="F58" s="18"/>
      <c r="G58" s="18"/>
      <c r="H58" s="18"/>
      <c r="U58" s="23"/>
      <c r="X58" s="186"/>
      <c r="Y58" s="186"/>
      <c r="Z58" s="186"/>
      <c r="AA58" s="186"/>
      <c r="AB58" s="186"/>
    </row>
    <row r="59" spans="1:28" s="10" customFormat="1" ht="12.75">
      <c r="A59" s="14"/>
      <c r="B59" s="15"/>
      <c r="C59" s="15"/>
      <c r="D59" s="15"/>
      <c r="E59" s="15"/>
      <c r="F59" s="15"/>
      <c r="G59" s="15"/>
      <c r="H59" s="15"/>
      <c r="U59" s="23"/>
      <c r="X59" s="186"/>
      <c r="Y59" s="186"/>
      <c r="Z59" s="186"/>
      <c r="AA59" s="186"/>
      <c r="AB59" s="186"/>
    </row>
    <row r="60" spans="1:28" s="10" customFormat="1" ht="12.75">
      <c r="A60" s="14"/>
      <c r="B60" s="15"/>
      <c r="C60" s="15"/>
      <c r="D60" s="15"/>
      <c r="E60" s="15"/>
      <c r="F60" s="15"/>
      <c r="G60" s="15"/>
      <c r="H60" s="15"/>
      <c r="U60" s="23"/>
      <c r="X60" s="186"/>
      <c r="Y60" s="186"/>
      <c r="Z60" s="186"/>
      <c r="AA60" s="186"/>
      <c r="AB60" s="186"/>
    </row>
    <row r="61" spans="1:28" s="10" customFormat="1" ht="12.75">
      <c r="A61" s="14"/>
      <c r="B61" s="15"/>
      <c r="C61" s="15"/>
      <c r="D61" s="15"/>
      <c r="E61" s="15"/>
      <c r="F61" s="15"/>
      <c r="G61" s="15"/>
      <c r="H61" s="15"/>
      <c r="U61" s="23"/>
      <c r="X61" s="186"/>
      <c r="Y61" s="186"/>
      <c r="Z61" s="186"/>
      <c r="AA61" s="186"/>
      <c r="AB61" s="186"/>
    </row>
    <row r="62" spans="1:28" s="10" customFormat="1" ht="12.75">
      <c r="A62" s="19"/>
      <c r="B62" s="20"/>
      <c r="C62" s="20"/>
      <c r="D62" s="20"/>
      <c r="E62" s="20"/>
      <c r="F62" s="20"/>
      <c r="G62" s="20"/>
      <c r="H62" s="20"/>
      <c r="U62" s="23"/>
      <c r="X62" s="186"/>
      <c r="Y62" s="186"/>
      <c r="Z62" s="186"/>
      <c r="AA62" s="186"/>
      <c r="AB62" s="186"/>
    </row>
    <row r="63" spans="1:28" s="10" customFormat="1" ht="12.75">
      <c r="A63" s="19"/>
      <c r="B63" s="20"/>
      <c r="C63" s="20"/>
      <c r="D63" s="20"/>
      <c r="E63" s="20"/>
      <c r="F63" s="20"/>
      <c r="G63" s="20"/>
      <c r="H63" s="20"/>
      <c r="U63" s="23"/>
      <c r="X63" s="186"/>
      <c r="Y63" s="186"/>
      <c r="Z63" s="186"/>
      <c r="AA63" s="186"/>
      <c r="AB63" s="186"/>
    </row>
    <row r="64" spans="1:28" s="10" customFormat="1" ht="12.75">
      <c r="A64" s="19"/>
      <c r="B64" s="20"/>
      <c r="C64" s="20"/>
      <c r="D64" s="20"/>
      <c r="E64" s="20"/>
      <c r="F64" s="20"/>
      <c r="G64" s="20"/>
      <c r="H64" s="20"/>
      <c r="U64" s="23"/>
      <c r="X64" s="186"/>
      <c r="Y64" s="186"/>
      <c r="Z64" s="186"/>
      <c r="AA64" s="186"/>
      <c r="AB64" s="186"/>
    </row>
    <row r="65" spans="1:28" s="10" customFormat="1" ht="12.75">
      <c r="A65" s="21"/>
      <c r="B65" s="22"/>
      <c r="C65" s="22"/>
      <c r="D65" s="22"/>
      <c r="E65" s="22"/>
      <c r="F65" s="22"/>
      <c r="G65" s="22"/>
      <c r="H65" s="22"/>
      <c r="U65" s="23"/>
      <c r="X65" s="186"/>
      <c r="Y65" s="186"/>
      <c r="Z65" s="186"/>
      <c r="AA65" s="186"/>
      <c r="AB65" s="186"/>
    </row>
    <row r="66" spans="1:28" s="10" customFormat="1" ht="12.75">
      <c r="A66" s="21"/>
      <c r="B66" s="22"/>
      <c r="C66" s="22"/>
      <c r="D66" s="22"/>
      <c r="E66" s="22"/>
      <c r="F66" s="22"/>
      <c r="G66" s="22"/>
      <c r="H66" s="22"/>
      <c r="U66" s="23"/>
      <c r="X66" s="186"/>
      <c r="Y66" s="186"/>
      <c r="Z66" s="186"/>
      <c r="AA66" s="186"/>
      <c r="AB66" s="186"/>
    </row>
    <row r="67" spans="1:28" s="10" customFormat="1" ht="12.75">
      <c r="A67" s="21"/>
      <c r="B67" s="22"/>
      <c r="C67" s="22"/>
      <c r="D67" s="22"/>
      <c r="E67" s="22"/>
      <c r="F67" s="22"/>
      <c r="G67" s="22"/>
      <c r="H67" s="22"/>
      <c r="U67" s="23"/>
      <c r="X67" s="186"/>
      <c r="Y67" s="186"/>
      <c r="Z67" s="186"/>
      <c r="AA67" s="186"/>
      <c r="AB67" s="186"/>
    </row>
    <row r="68" spans="1:28" s="10" customFormat="1" ht="12.75">
      <c r="A68" s="21"/>
      <c r="B68" s="22"/>
      <c r="C68" s="22"/>
      <c r="D68" s="22"/>
      <c r="E68" s="22"/>
      <c r="F68" s="22"/>
      <c r="G68" s="22"/>
      <c r="H68" s="22"/>
      <c r="U68" s="23"/>
      <c r="X68" s="186"/>
      <c r="Y68" s="186"/>
      <c r="Z68" s="186"/>
      <c r="AA68" s="186"/>
      <c r="AB68" s="186"/>
    </row>
    <row r="69" spans="1:28" s="10" customFormat="1" ht="12.75">
      <c r="A69" s="21"/>
      <c r="B69" s="22"/>
      <c r="C69" s="22"/>
      <c r="D69" s="22"/>
      <c r="E69" s="22"/>
      <c r="F69" s="22"/>
      <c r="G69" s="22"/>
      <c r="H69" s="22"/>
      <c r="U69" s="23"/>
      <c r="X69" s="186"/>
      <c r="Y69" s="186"/>
      <c r="Z69" s="186"/>
      <c r="AA69" s="186"/>
      <c r="AB69" s="186"/>
    </row>
    <row r="70" spans="1:28" s="10" customFormat="1" ht="12.75">
      <c r="A70" s="21"/>
      <c r="B70" s="22"/>
      <c r="C70" s="22"/>
      <c r="D70" s="22"/>
      <c r="E70" s="22"/>
      <c r="F70" s="22"/>
      <c r="G70" s="22"/>
      <c r="H70" s="22"/>
      <c r="U70" s="23"/>
      <c r="X70" s="186"/>
      <c r="Y70" s="186"/>
      <c r="Z70" s="186"/>
      <c r="AA70" s="186"/>
      <c r="AB70" s="186"/>
    </row>
  </sheetData>
  <sheetProtection password="CF56" sheet="1" objects="1" scenarios="1"/>
  <protectedRanges>
    <protectedRange sqref="P4" name="Startgeld"/>
    <protectedRange sqref="C50" name="Bereich10"/>
    <protectedRange sqref="D42" name="Bereich8"/>
    <protectedRange sqref="T2:X2" name="Bereich6"/>
    <protectedRange sqref="U20:X29" name="Bereich4"/>
    <protectedRange sqref="G4:G35" name="Bereich2"/>
    <protectedRange sqref="D4:D35" name="Bereich1"/>
    <protectedRange sqref="O20:Q29" name="Bereich3"/>
    <protectedRange sqref="N2:Q2" name="Bereich5"/>
    <protectedRange sqref="D40" name="Bereich7"/>
    <protectedRange sqref="C46:U46" name="Bereich9"/>
    <protectedRange sqref="B37" name="Bereich11"/>
    <protectedRange sqref="J1:K1" name="Bereich13"/>
    <protectedRange password="CF42" sqref="B4:B15" name="Namen"/>
    <protectedRange sqref="P6" name="Jackpot"/>
  </protectedRanges>
  <mergeCells count="43">
    <mergeCell ref="S12:U12"/>
    <mergeCell ref="S13:U13"/>
    <mergeCell ref="M9:V9"/>
    <mergeCell ref="A1:G1"/>
    <mergeCell ref="O26:P26"/>
    <mergeCell ref="C46:U46"/>
    <mergeCell ref="M11:O11"/>
    <mergeCell ref="M12:O12"/>
    <mergeCell ref="M13:O13"/>
    <mergeCell ref="M14:O14"/>
    <mergeCell ref="S14:U14"/>
    <mergeCell ref="S15:U15"/>
    <mergeCell ref="U20:V20"/>
    <mergeCell ref="U21:V21"/>
    <mergeCell ref="U29:V29"/>
    <mergeCell ref="N36:O36"/>
    <mergeCell ref="O28:P28"/>
    <mergeCell ref="O35:P35"/>
    <mergeCell ref="O23:P23"/>
    <mergeCell ref="U22:V22"/>
    <mergeCell ref="A2:B3"/>
    <mergeCell ref="O21:P21"/>
    <mergeCell ref="O22:P22"/>
    <mergeCell ref="M15:O15"/>
    <mergeCell ref="O20:P20"/>
    <mergeCell ref="C37:C38"/>
    <mergeCell ref="O37:Q38"/>
    <mergeCell ref="O27:P27"/>
    <mergeCell ref="D37:D38"/>
    <mergeCell ref="T2:X2"/>
    <mergeCell ref="S11:U11"/>
    <mergeCell ref="M5:O5"/>
    <mergeCell ref="D2:D3"/>
    <mergeCell ref="M1:P1"/>
    <mergeCell ref="M8:V8"/>
    <mergeCell ref="J1:K1"/>
    <mergeCell ref="N10:O10"/>
    <mergeCell ref="U23:V23"/>
    <mergeCell ref="U26:V26"/>
    <mergeCell ref="U27:V27"/>
    <mergeCell ref="U28:V28"/>
    <mergeCell ref="O29:P29"/>
    <mergeCell ref="M35:N35"/>
  </mergeCells>
  <conditionalFormatting sqref="Z2:Z4 Z15:Z26">
    <cfRule type="expression" priority="3" dxfId="116" stopIfTrue="1">
      <formula>AA2="x"</formula>
    </cfRule>
  </conditionalFormatting>
  <conditionalFormatting sqref="M3:Q3 M11:Q33 M4:P4 M2 M5 P5 M6:P6 M7:M9 P10:Q10">
    <cfRule type="expression" priority="12" dxfId="114" stopIfTrue="1">
      <formula>$D$42="SQR"</formula>
    </cfRule>
  </conditionalFormatting>
  <conditionalFormatting sqref="S2:X5 S12:X33 V7 S11:W11 S6:V6 X6:X11 Y6:Y13 Z6:Z14 AA6:AA15 Y5:AB5 AB6:AB36 S10:V10 W6:W10">
    <cfRule type="expression" priority="13" dxfId="114" stopIfTrue="1">
      <formula>$D$42="SSR"</formula>
    </cfRule>
  </conditionalFormatting>
  <conditionalFormatting sqref="A4:C4">
    <cfRule type="expression" priority="2" dxfId="112" stopIfTrue="1">
      <formula>$C4="X"</formula>
    </cfRule>
  </conditionalFormatting>
  <conditionalFormatting sqref="A5:C15">
    <cfRule type="expression" priority="1" dxfId="112" stopIfTrue="1">
      <formula>$C5="X"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rgb="FFFF0000"/>
  </sheetPr>
  <dimension ref="A1:BJ76"/>
  <sheetViews>
    <sheetView showGridLines="0" showRowColHeaders="0" tabSelected="1" zoomScale="95" zoomScaleNormal="95" zoomScalePageLayoutView="0" workbookViewId="0" topLeftCell="B1">
      <selection activeCell="C25" sqref="C25"/>
    </sheetView>
  </sheetViews>
  <sheetFormatPr defaultColWidth="11.421875" defaultRowHeight="12.75"/>
  <cols>
    <col min="1" max="1" width="3.421875" style="0" hidden="1" customWidth="1"/>
    <col min="2" max="2" width="4.00390625" style="24" customWidth="1"/>
    <col min="3" max="3" width="7.00390625" style="0" customWidth="1"/>
    <col min="4" max="14" width="4.00390625" style="0" customWidth="1"/>
    <col min="15" max="15" width="5.7109375" style="0" customWidth="1"/>
    <col min="16" max="16" width="4.7109375" style="0" customWidth="1"/>
    <col min="17" max="17" width="2.140625" style="0" customWidth="1"/>
    <col min="18" max="21" width="4.7109375" style="0" customWidth="1"/>
    <col min="22" max="23" width="11.421875" style="0" hidden="1" customWidth="1"/>
    <col min="24" max="24" width="3.28125" style="0" hidden="1" customWidth="1"/>
    <col min="25" max="25" width="4.28125" style="0" hidden="1" customWidth="1"/>
    <col min="26" max="26" width="4.7109375" style="0" hidden="1" customWidth="1"/>
    <col min="27" max="27" width="3.7109375" style="55" customWidth="1"/>
    <col min="28" max="28" width="10.00390625" style="55" hidden="1" customWidth="1"/>
    <col min="29" max="29" width="4.7109375" style="0" customWidth="1"/>
    <col min="30" max="30" width="7.00390625" style="0" customWidth="1"/>
    <col min="31" max="41" width="4.00390625" style="0" customWidth="1"/>
    <col min="42" max="42" width="5.7109375" style="0" customWidth="1"/>
    <col min="43" max="43" width="4.7109375" style="0" customWidth="1"/>
    <col min="44" max="44" width="2.140625" style="0" customWidth="1"/>
    <col min="45" max="48" width="4.7109375" style="0" customWidth="1"/>
    <col min="49" max="49" width="5.00390625" style="0" hidden="1" customWidth="1"/>
    <col min="50" max="50" width="3.7109375" style="0" customWidth="1"/>
    <col min="51" max="51" width="10.57421875" style="0" hidden="1" customWidth="1"/>
    <col min="52" max="52" width="1.1484375" style="54" customWidth="1"/>
    <col min="53" max="53" width="4.8515625" style="0" customWidth="1"/>
    <col min="54" max="54" width="7.57421875" style="0" customWidth="1"/>
    <col min="56" max="56" width="7.00390625" style="0" customWidth="1"/>
  </cols>
  <sheetData>
    <row r="1" spans="2:55" ht="24">
      <c r="B1" s="173" t="str">
        <f>Spieler!J1</f>
        <v>x</v>
      </c>
      <c r="D1" s="275" t="s">
        <v>70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C1" s="269">
        <f ca="1">NOW()-TODAY()</f>
        <v>0.4141450231472845</v>
      </c>
      <c r="AD1" s="269"/>
      <c r="AE1" s="275" t="s">
        <v>71</v>
      </c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Z1" s="272" t="s">
        <v>90</v>
      </c>
      <c r="BA1" s="272"/>
      <c r="BB1" s="272"/>
      <c r="BC1" s="272"/>
    </row>
    <row r="2" spans="2:54" ht="15.75">
      <c r="B2" s="173">
        <f>Spieler!I37</f>
        <v>10</v>
      </c>
      <c r="D2" s="266" t="s">
        <v>1</v>
      </c>
      <c r="E2" s="267"/>
      <c r="F2" s="267"/>
      <c r="G2" s="267"/>
      <c r="H2" s="267"/>
      <c r="I2" s="268"/>
      <c r="J2" s="41" t="s">
        <v>22</v>
      </c>
      <c r="K2" s="41" t="s">
        <v>23</v>
      </c>
      <c r="L2" s="41" t="s">
        <v>24</v>
      </c>
      <c r="M2" s="41" t="s">
        <v>13</v>
      </c>
      <c r="N2" s="41" t="s">
        <v>14</v>
      </c>
      <c r="O2" s="41" t="s">
        <v>0</v>
      </c>
      <c r="P2" s="254" t="s">
        <v>25</v>
      </c>
      <c r="Q2" s="254"/>
      <c r="R2" s="254"/>
      <c r="S2" s="254"/>
      <c r="T2" s="254"/>
      <c r="U2" s="254"/>
      <c r="V2" s="26"/>
      <c r="W2" s="25"/>
      <c r="X2" s="30"/>
      <c r="Y2" s="26"/>
      <c r="Z2" s="26"/>
      <c r="AA2" s="41" t="s">
        <v>73</v>
      </c>
      <c r="AB2" s="53"/>
      <c r="AC2" s="270">
        <v>0.041666666666666664</v>
      </c>
      <c r="AD2" s="271"/>
      <c r="AE2" s="266" t="s">
        <v>1</v>
      </c>
      <c r="AF2" s="267"/>
      <c r="AG2" s="267"/>
      <c r="AH2" s="267"/>
      <c r="AI2" s="267"/>
      <c r="AJ2" s="268"/>
      <c r="AK2" s="41" t="s">
        <v>22</v>
      </c>
      <c r="AL2" s="41" t="s">
        <v>23</v>
      </c>
      <c r="AM2" s="41" t="s">
        <v>24</v>
      </c>
      <c r="AN2" s="41" t="s">
        <v>13</v>
      </c>
      <c r="AO2" s="41" t="s">
        <v>14</v>
      </c>
      <c r="AP2" s="41" t="s">
        <v>0</v>
      </c>
      <c r="AQ2" s="254" t="s">
        <v>25</v>
      </c>
      <c r="AR2" s="254"/>
      <c r="AS2" s="254"/>
      <c r="AT2" s="254"/>
      <c r="AU2" s="254"/>
      <c r="AV2" s="254"/>
      <c r="AW2" s="53"/>
      <c r="AX2" s="41" t="s">
        <v>73</v>
      </c>
      <c r="AY2" s="53"/>
      <c r="BA2" s="134"/>
      <c r="BB2" s="45" t="s">
        <v>141</v>
      </c>
    </row>
    <row r="3" spans="3:53" ht="14.25" customHeight="1">
      <c r="C3" s="46"/>
      <c r="D3" s="263" t="str">
        <f>IF(Spieler!B4="","",IF(Spieler!P3&lt;12,Spieler!AD5,Spieler!B4))</f>
        <v>Christian Jungk</v>
      </c>
      <c r="E3" s="264"/>
      <c r="F3" s="264"/>
      <c r="G3" s="264"/>
      <c r="H3" s="264"/>
      <c r="I3" s="265"/>
      <c r="J3" s="29">
        <f>S10+S15+S17+S20+S23</f>
        <v>4</v>
      </c>
      <c r="K3" s="101">
        <f>T10+T15+T17+U20+T23</f>
        <v>2</v>
      </c>
      <c r="L3" s="102">
        <f>U10+U15+U17+T20+U23</f>
        <v>2</v>
      </c>
      <c r="M3" s="100">
        <f>P10+P15+P17+R20+P23</f>
        <v>5</v>
      </c>
      <c r="N3" s="103">
        <f>R10+R15+R17+P20+R23</f>
        <v>4</v>
      </c>
      <c r="O3" s="165">
        <f aca="true" t="shared" si="0" ref="O3:O8">AC3</f>
        <v>3</v>
      </c>
      <c r="P3" s="255">
        <v>31.33</v>
      </c>
      <c r="Q3" s="255"/>
      <c r="R3" s="255"/>
      <c r="S3" s="255"/>
      <c r="T3" s="255"/>
      <c r="U3" s="255"/>
      <c r="V3" s="26"/>
      <c r="W3" s="26"/>
      <c r="X3" s="26"/>
      <c r="Y3" s="26"/>
      <c r="Z3" s="26" t="str">
        <f aca="true" t="shared" si="1" ref="Z3:Z8">D3</f>
        <v>Christian Jungk</v>
      </c>
      <c r="AA3" s="58"/>
      <c r="AB3" s="107">
        <f>IF(D3=0,-20000000,(K3*10000)+(M3*1000)-(L3*10000)-N3+AA3+J3)</f>
        <v>5000</v>
      </c>
      <c r="AC3" s="135">
        <f aca="true" t="shared" si="2" ref="AC3:AC8">IF(AB3=0,"",RANK(AB3,$AB$3:$AB$8))</f>
        <v>3</v>
      </c>
      <c r="AD3" s="94"/>
      <c r="AE3" s="263" t="str">
        <f>IF(Spieler!B10="","",IF(Spieler!$P$3=12,Spieler!B10,IF(Spieler!P3&lt;12,Spieler!AE5)))</f>
        <v>Marec Stachly</v>
      </c>
      <c r="AF3" s="264"/>
      <c r="AG3" s="264"/>
      <c r="AH3" s="264"/>
      <c r="AI3" s="264"/>
      <c r="AJ3" s="265"/>
      <c r="AK3" s="29">
        <f>AT10+AT15+AT17+AT20+AT23</f>
        <v>4</v>
      </c>
      <c r="AL3" s="101">
        <f>AU10+AU15+AU17+AV20+AU23</f>
        <v>2</v>
      </c>
      <c r="AM3" s="102">
        <f>AV10+AV15+AV17+AU20+AV23</f>
        <v>2</v>
      </c>
      <c r="AN3" s="100">
        <f>AQ10+AQ15+AQ17+AS20+AQ23</f>
        <v>6</v>
      </c>
      <c r="AO3" s="103">
        <f>AS10+AS15+AS17+AQ20+AS23</f>
        <v>4</v>
      </c>
      <c r="AP3" s="165">
        <f>IF(AZ3="","",AZ3)</f>
        <v>2</v>
      </c>
      <c r="AQ3" s="255">
        <v>32</v>
      </c>
      <c r="AR3" s="255"/>
      <c r="AS3" s="255"/>
      <c r="AT3" s="255"/>
      <c r="AU3" s="255"/>
      <c r="AV3" s="255"/>
      <c r="AW3" s="26" t="str">
        <f aca="true" t="shared" si="3" ref="AW3:AW8">AE3</f>
        <v>Marec Stachly</v>
      </c>
      <c r="AX3" s="59"/>
      <c r="AY3" s="107">
        <f>IF(AE3=0,-20000000,(AL3*10000)+(AN3*1000)-(AM3*10000)-AO3+AX3+AK3)</f>
        <v>6000</v>
      </c>
      <c r="AZ3" s="54">
        <f aca="true" t="shared" si="4" ref="AZ3:AZ8">IF(AE3=0,"",IF(AY3=0,"",RANK(AY3,$AY$3:$AY$8)))</f>
        <v>2</v>
      </c>
      <c r="BA3" s="31" t="s">
        <v>15</v>
      </c>
    </row>
    <row r="4" spans="3:53" ht="14.25" customHeight="1">
      <c r="C4" s="46"/>
      <c r="D4" s="263" t="str">
        <f>IF(Spieler!B5="","",IF(Spieler!P3&lt;12,Spieler!AD6,Spieler!B5))</f>
        <v>Jan Utikal</v>
      </c>
      <c r="E4" s="264"/>
      <c r="F4" s="264"/>
      <c r="G4" s="264"/>
      <c r="H4" s="264"/>
      <c r="I4" s="265"/>
      <c r="J4" s="29">
        <f>S10+S13+S16+S19+S22</f>
        <v>4</v>
      </c>
      <c r="K4" s="101">
        <f>U10+T13+T16+U19+T22</f>
        <v>4</v>
      </c>
      <c r="L4" s="102">
        <f>T10+U13+U16+T19+U22</f>
        <v>0</v>
      </c>
      <c r="M4" s="100">
        <f>R10+P13+P16+R19+P22</f>
        <v>8</v>
      </c>
      <c r="N4" s="103">
        <f>P10+R13+R16+P19+R22</f>
        <v>1</v>
      </c>
      <c r="O4" s="165">
        <f t="shared" si="0"/>
        <v>1</v>
      </c>
      <c r="P4" s="255" t="s">
        <v>155</v>
      </c>
      <c r="Q4" s="255"/>
      <c r="R4" s="255"/>
      <c r="S4" s="255"/>
      <c r="T4" s="255"/>
      <c r="U4" s="255"/>
      <c r="V4" s="26"/>
      <c r="W4" s="26"/>
      <c r="X4" s="26"/>
      <c r="Y4" s="26"/>
      <c r="Z4" s="26" t="str">
        <f t="shared" si="1"/>
        <v>Jan Utikal</v>
      </c>
      <c r="AA4" s="58"/>
      <c r="AB4" s="107">
        <f>IF(D4=0,-20000000,(K4*10000)+(M4*1000)-(L4*10000)-N4+AA4+J4)</f>
        <v>48003</v>
      </c>
      <c r="AC4" s="135">
        <f t="shared" si="2"/>
        <v>1</v>
      </c>
      <c r="AD4" s="94"/>
      <c r="AE4" s="263" t="str">
        <f>IF(Spieler!B10="","",IF(Spieler!$P$3=12,Spieler!B11,IF(Spieler!P3&lt;12,Spieler!AE6)))</f>
        <v>Tino Delling</v>
      </c>
      <c r="AF4" s="264"/>
      <c r="AG4" s="264"/>
      <c r="AH4" s="264"/>
      <c r="AI4" s="264"/>
      <c r="AJ4" s="265"/>
      <c r="AK4" s="29">
        <f>AT10+AT13+AT16+AT19+AT22</f>
        <v>4</v>
      </c>
      <c r="AL4" s="101">
        <f>AV10+AU13+AU16+AV19+AU22</f>
        <v>4</v>
      </c>
      <c r="AM4" s="102">
        <f>AU10+AV13+AV16+AU19+AV22</f>
        <v>0</v>
      </c>
      <c r="AN4" s="100">
        <f>AS10+AQ13+AQ16+AS19+AQ22</f>
        <v>8</v>
      </c>
      <c r="AO4" s="103">
        <f>AQ10+AS13+AS16+AQ19+AS22</f>
        <v>2</v>
      </c>
      <c r="AP4" s="165">
        <f>AZ4</f>
        <v>1</v>
      </c>
      <c r="AQ4" s="255" t="s">
        <v>154</v>
      </c>
      <c r="AR4" s="255"/>
      <c r="AS4" s="255"/>
      <c r="AT4" s="255"/>
      <c r="AU4" s="255"/>
      <c r="AV4" s="255"/>
      <c r="AW4" s="26" t="str">
        <f t="shared" si="3"/>
        <v>Tino Delling</v>
      </c>
      <c r="AX4" s="59"/>
      <c r="AY4" s="107">
        <f>IF(AE4=0,-20000000,(AL4*10000)+(AN4*1000)-(AM4*10000)-AO4+AX4+AK4)</f>
        <v>48002</v>
      </c>
      <c r="AZ4" s="54">
        <f t="shared" si="4"/>
        <v>1</v>
      </c>
      <c r="BA4" s="31" t="s">
        <v>16</v>
      </c>
    </row>
    <row r="5" spans="3:53" ht="14.25" customHeight="1">
      <c r="C5" s="46"/>
      <c r="D5" s="263" t="str">
        <f>IF(Spieler!B6="","",IF(Spieler!P3&lt;12,Spieler!AD7,Spieler!B6))</f>
        <v>Paul Arthur Jeroch</v>
      </c>
      <c r="E5" s="264"/>
      <c r="F5" s="264"/>
      <c r="G5" s="264"/>
      <c r="H5" s="264"/>
      <c r="I5" s="265"/>
      <c r="J5" s="29">
        <f>S11+S13+S15+S18+S21</f>
        <v>4</v>
      </c>
      <c r="K5" s="101">
        <f>T11+U13+U15+T18+T21</f>
        <v>0</v>
      </c>
      <c r="L5" s="102">
        <f>U11+T13+T15+U18+U21</f>
        <v>4</v>
      </c>
      <c r="M5" s="100">
        <f>P11+R13+R15+P18+P21</f>
        <v>0</v>
      </c>
      <c r="N5" s="103">
        <f>R11+P13+P15+R18+R21</f>
        <v>8</v>
      </c>
      <c r="O5" s="165">
        <f t="shared" si="0"/>
        <v>5</v>
      </c>
      <c r="P5" s="255"/>
      <c r="Q5" s="255"/>
      <c r="R5" s="255"/>
      <c r="S5" s="255"/>
      <c r="T5" s="255"/>
      <c r="U5" s="255"/>
      <c r="V5" s="26"/>
      <c r="W5" s="26"/>
      <c r="X5" s="26"/>
      <c r="Y5" s="26"/>
      <c r="Z5" s="26" t="str">
        <f t="shared" si="1"/>
        <v>Paul Arthur Jeroch</v>
      </c>
      <c r="AA5" s="58"/>
      <c r="AB5" s="107">
        <f>IF(D5=0,-20000000,(K5*10000)+(M5*1000)-(L5*10000)-N5+AA5+J5)</f>
        <v>-40004</v>
      </c>
      <c r="AC5" s="54">
        <f t="shared" si="2"/>
        <v>5</v>
      </c>
      <c r="AD5" s="46"/>
      <c r="AE5" s="263" t="str">
        <f>IF(Spieler!B10="","",IF(Spieler!$P$3=12,Spieler!B12,IF(Spieler!P3&lt;12,Spieler!AE7)))</f>
        <v>Johannes Heyer</v>
      </c>
      <c r="AF5" s="264"/>
      <c r="AG5" s="264"/>
      <c r="AH5" s="264"/>
      <c r="AI5" s="264"/>
      <c r="AJ5" s="265"/>
      <c r="AK5" s="29">
        <f>AT11+AT13+AT15+AT18+AT21</f>
        <v>4</v>
      </c>
      <c r="AL5" s="101">
        <f>AU11+AV13+AV15+AU18+AU21</f>
        <v>1</v>
      </c>
      <c r="AM5" s="102">
        <f>AV11+AU13+AU15+AV18+AV21</f>
        <v>3</v>
      </c>
      <c r="AN5" s="100">
        <f>AQ11+AS13+AS15+AQ18+AQ21</f>
        <v>3</v>
      </c>
      <c r="AO5" s="103">
        <f>AS11+AQ13+AQ15+AS18+AS21</f>
        <v>6</v>
      </c>
      <c r="AP5" s="165">
        <f>AZ5</f>
        <v>4</v>
      </c>
      <c r="AQ5" s="255"/>
      <c r="AR5" s="255"/>
      <c r="AS5" s="255"/>
      <c r="AT5" s="255"/>
      <c r="AU5" s="255"/>
      <c r="AV5" s="255"/>
      <c r="AW5" s="26" t="str">
        <f t="shared" si="3"/>
        <v>Johannes Heyer</v>
      </c>
      <c r="AX5" s="59"/>
      <c r="AY5" s="107">
        <f>IF(AE5=0,-20000000,(AL5*10000)+(AN5*1000)-(AM5*10000)-AO5+AX5+AK5)</f>
        <v>-17002</v>
      </c>
      <c r="AZ5" s="54">
        <f t="shared" si="4"/>
        <v>4</v>
      </c>
      <c r="BA5" s="31" t="s">
        <v>17</v>
      </c>
    </row>
    <row r="6" spans="3:53" ht="14.25" customHeight="1">
      <c r="C6" s="46"/>
      <c r="D6" s="263" t="str">
        <f>IF(Spieler!B7="","",IF(Spieler!P3&lt;12,Spieler!AD8,Spieler!B7))</f>
        <v>Thomas Metzler</v>
      </c>
      <c r="E6" s="264"/>
      <c r="F6" s="264"/>
      <c r="G6" s="264"/>
      <c r="H6" s="264"/>
      <c r="I6" s="265"/>
      <c r="J6" s="29">
        <f>S11+S14+S16+S17+S24</f>
        <v>4</v>
      </c>
      <c r="K6" s="101">
        <f>U11+T14+U16+U17+T24</f>
        <v>2</v>
      </c>
      <c r="L6" s="102">
        <f>T11+U14+T16+T17+U24</f>
        <v>2</v>
      </c>
      <c r="M6" s="100">
        <f>R11+P14+R16+P24+R17</f>
        <v>4</v>
      </c>
      <c r="N6" s="103">
        <f>P11+R14+P16+P17+R24</f>
        <v>5</v>
      </c>
      <c r="O6" s="165">
        <f t="shared" si="0"/>
        <v>4</v>
      </c>
      <c r="P6" s="255"/>
      <c r="Q6" s="255"/>
      <c r="R6" s="255"/>
      <c r="S6" s="255"/>
      <c r="T6" s="255"/>
      <c r="U6" s="255"/>
      <c r="V6" s="26"/>
      <c r="W6" s="26"/>
      <c r="X6" s="26"/>
      <c r="Y6" s="26"/>
      <c r="Z6" s="26" t="str">
        <f t="shared" si="1"/>
        <v>Thomas Metzler</v>
      </c>
      <c r="AA6" s="58"/>
      <c r="AB6" s="107">
        <f>IF(D6=0,-20000000,(K6*10000)+(M6*1000)-(L6*10000)-N6+AA6+J6)</f>
        <v>3999</v>
      </c>
      <c r="AC6" s="54">
        <f t="shared" si="2"/>
        <v>4</v>
      </c>
      <c r="AD6" s="46"/>
      <c r="AE6" s="263" t="str">
        <f>IF(Spieler!B11="","",IF(Spieler!$P$3=12,Spieler!B13,IF(Spieler!P3&lt;12,Spieler!AE8)))</f>
        <v>Markus Elstermann</v>
      </c>
      <c r="AF6" s="264"/>
      <c r="AG6" s="264"/>
      <c r="AH6" s="264"/>
      <c r="AI6" s="264"/>
      <c r="AJ6" s="265"/>
      <c r="AK6" s="29">
        <f>AT11+AT14+AT16+AT17+AT24</f>
        <v>4</v>
      </c>
      <c r="AL6" s="101">
        <f>AV11+AU14+AV16+AV17+AU24</f>
        <v>1</v>
      </c>
      <c r="AM6" s="102">
        <f>AU11+AV14+AU16+AU17+AV24</f>
        <v>3</v>
      </c>
      <c r="AN6" s="100">
        <f>AS11+AQ14+AS16+AQ24+AS17</f>
        <v>3</v>
      </c>
      <c r="AO6" s="103">
        <f>AQ11+AS14+AQ16+AQ17+AS24</f>
        <v>7</v>
      </c>
      <c r="AP6" s="165">
        <f>AZ6</f>
        <v>5</v>
      </c>
      <c r="AQ6" s="255"/>
      <c r="AR6" s="255"/>
      <c r="AS6" s="255"/>
      <c r="AT6" s="255"/>
      <c r="AU6" s="255"/>
      <c r="AV6" s="255"/>
      <c r="AW6" s="26" t="str">
        <f t="shared" si="3"/>
        <v>Markus Elstermann</v>
      </c>
      <c r="AX6" s="59"/>
      <c r="AY6" s="107">
        <f>IF(AE6=0,-20000000,(AL6*10000)+(AN6*1000)-(AM6*10000)-AO6+AX6+AK6)</f>
        <v>-17003</v>
      </c>
      <c r="AZ6" s="54">
        <f t="shared" si="4"/>
        <v>5</v>
      </c>
      <c r="BA6" s="31" t="s">
        <v>18</v>
      </c>
    </row>
    <row r="7" spans="3:53" ht="14.25" customHeight="1">
      <c r="C7" s="46"/>
      <c r="D7" s="263" t="str">
        <f>IF(Spieler!B8="","",IF(Spieler!P3&lt;12,Spieler!AD9,Spieler!B8))</f>
        <v>Sven Ohlenroth</v>
      </c>
      <c r="E7" s="264"/>
      <c r="F7" s="264"/>
      <c r="G7" s="264"/>
      <c r="H7" s="264"/>
      <c r="I7" s="265"/>
      <c r="J7" s="29">
        <f>S12+S14+S18+S20+S22</f>
        <v>4</v>
      </c>
      <c r="K7" s="101">
        <f>T12+U14+U18+T20+U22</f>
        <v>2</v>
      </c>
      <c r="L7" s="102">
        <f>U12+T14+T18+U20+T22</f>
        <v>2</v>
      </c>
      <c r="M7" s="100">
        <f>P12+R14+R18+P20+R22</f>
        <v>5</v>
      </c>
      <c r="N7" s="103">
        <f>R12+P14+P18+R20+P22</f>
        <v>4</v>
      </c>
      <c r="O7" s="165">
        <f>AC7</f>
        <v>2</v>
      </c>
      <c r="P7" s="255">
        <v>36</v>
      </c>
      <c r="Q7" s="255"/>
      <c r="R7" s="255"/>
      <c r="S7" s="255"/>
      <c r="T7" s="255"/>
      <c r="U7" s="255"/>
      <c r="V7" s="26"/>
      <c r="W7" s="26"/>
      <c r="X7" s="26"/>
      <c r="Y7" s="26"/>
      <c r="Z7" s="26" t="str">
        <f t="shared" si="1"/>
        <v>Sven Ohlenroth</v>
      </c>
      <c r="AA7" s="58">
        <v>1</v>
      </c>
      <c r="AB7" s="107">
        <f>IF(D7=0,-20000000,(K7*10000)+(M7*1000)-(L7*10000)-N7+AA7+J7)</f>
        <v>5001</v>
      </c>
      <c r="AC7" s="54">
        <f t="shared" si="2"/>
        <v>2</v>
      </c>
      <c r="AD7" s="46"/>
      <c r="AE7" s="263" t="str">
        <f>IF(Spieler!B13="","",IF(Spieler!$P$3=12,Spieler!B14,IF(Spieler!P3&lt;12,Spieler!AE9)))</f>
        <v>Michael Kandler</v>
      </c>
      <c r="AF7" s="264"/>
      <c r="AG7" s="264"/>
      <c r="AH7" s="264"/>
      <c r="AI7" s="264"/>
      <c r="AJ7" s="265"/>
      <c r="AK7" s="29">
        <f>AT12+AT14+AT18+AT20+AT22</f>
        <v>4</v>
      </c>
      <c r="AL7" s="101">
        <f>AU12+AV14+AV18+AU20+AV22</f>
        <v>2</v>
      </c>
      <c r="AM7" s="102">
        <f>AV12+AU14+AU18+AV20+AU22</f>
        <v>2</v>
      </c>
      <c r="AN7" s="100">
        <f>AQ12+AS14+AS18+AQ20+AS22</f>
        <v>5</v>
      </c>
      <c r="AO7" s="103">
        <f>AS12+AQ14+AQ18+AS20+AQ22</f>
        <v>6</v>
      </c>
      <c r="AP7" s="165">
        <f>AZ7</f>
        <v>3</v>
      </c>
      <c r="AQ7" s="255"/>
      <c r="AR7" s="255"/>
      <c r="AS7" s="255"/>
      <c r="AT7" s="255"/>
      <c r="AU7" s="255"/>
      <c r="AV7" s="255"/>
      <c r="AW7" s="26" t="str">
        <f t="shared" si="3"/>
        <v>Michael Kandler</v>
      </c>
      <c r="AX7" s="59"/>
      <c r="AY7" s="107">
        <f>IF(AE7=0,-20000000,(AL7*10000)+(AN7*1000)-(AM7*10000)-AO7+AX7+AK7)</f>
        <v>4998</v>
      </c>
      <c r="AZ7" s="54">
        <f t="shared" si="4"/>
        <v>3</v>
      </c>
      <c r="BA7" s="31" t="s">
        <v>19</v>
      </c>
    </row>
    <row r="8" spans="3:53" ht="14.25" customHeight="1">
      <c r="C8" s="46"/>
      <c r="D8" s="263">
        <f>IF(Spieler!B9="","",IF(Spieler!P3&lt;12,Spieler!AD10,Spieler!B9))</f>
      </c>
      <c r="E8" s="264"/>
      <c r="F8" s="264"/>
      <c r="G8" s="264"/>
      <c r="H8" s="264"/>
      <c r="I8" s="265"/>
      <c r="J8" s="29">
        <f>S12+S19+S21+S23+S24</f>
        <v>0</v>
      </c>
      <c r="K8" s="101">
        <f>U12+T19+U21+U23+U24</f>
        <v>0</v>
      </c>
      <c r="L8" s="102">
        <f>T12+U19+T21+T23+T24</f>
        <v>0</v>
      </c>
      <c r="M8" s="100">
        <f>R12+P19+R21+R23+R24</f>
        <v>0</v>
      </c>
      <c r="N8" s="103">
        <f>P12+R19+P21+P23+P24</f>
        <v>0</v>
      </c>
      <c r="O8" s="165">
        <f t="shared" si="0"/>
        <v>6</v>
      </c>
      <c r="P8" s="255"/>
      <c r="Q8" s="255"/>
      <c r="R8" s="255"/>
      <c r="S8" s="255"/>
      <c r="T8" s="255"/>
      <c r="U8" s="255"/>
      <c r="V8" s="26"/>
      <c r="W8" s="26"/>
      <c r="X8" s="26"/>
      <c r="Y8" s="26"/>
      <c r="Z8" s="26">
        <f t="shared" si="1"/>
      </c>
      <c r="AA8" s="58"/>
      <c r="AB8" s="107">
        <f>IF(D8="",-20000000,(K8*10000)+(M8*1000)-(L8*10000)-N8+AA8+J8)</f>
        <v>-20000000</v>
      </c>
      <c r="AC8" s="54">
        <f t="shared" si="2"/>
        <v>6</v>
      </c>
      <c r="AD8" s="46"/>
      <c r="AE8" s="263">
        <f>IF(Spieler!B15="","",IF(Spieler!$P$3=12,Spieler!B15,IF(Spieler!P3&lt;12,Spieler!AE10)))</f>
      </c>
      <c r="AF8" s="264"/>
      <c r="AG8" s="264"/>
      <c r="AH8" s="264"/>
      <c r="AI8" s="264"/>
      <c r="AJ8" s="265"/>
      <c r="AK8" s="29">
        <f>AT12+AT19+AT21+AT23+AT24</f>
        <v>0</v>
      </c>
      <c r="AL8" s="101">
        <f>AV12+AU19+AV21+AV23+AV24</f>
        <v>0</v>
      </c>
      <c r="AM8" s="102">
        <f>AU12+AV19+AU21+AU23+AU24</f>
        <v>0</v>
      </c>
      <c r="AN8" s="100">
        <f>AS12+AQ19+AS21+AS23+AS24</f>
        <v>0</v>
      </c>
      <c r="AO8" s="103">
        <f>AQ12+AS19+AQ21+AQ23+AQ24</f>
        <v>0</v>
      </c>
      <c r="AP8" s="165">
        <f>AZ8</f>
        <v>6</v>
      </c>
      <c r="AQ8" s="255"/>
      <c r="AR8" s="255"/>
      <c r="AS8" s="255"/>
      <c r="AT8" s="255"/>
      <c r="AU8" s="255"/>
      <c r="AV8" s="255"/>
      <c r="AW8" s="26">
        <f t="shared" si="3"/>
      </c>
      <c r="AX8" s="59"/>
      <c r="AY8" s="107">
        <f>IF(AE8="",-20000000,(AL8*10000)+(AN8*1000)-(AM8*10000)-AO8+AX8+AK8)</f>
        <v>-20000000</v>
      </c>
      <c r="AZ8" s="54">
        <f t="shared" si="4"/>
        <v>6</v>
      </c>
      <c r="BA8" s="31" t="s">
        <v>20</v>
      </c>
    </row>
    <row r="9" spans="2:44" ht="12.75">
      <c r="B9" s="204"/>
      <c r="C9" s="134" t="s">
        <v>6</v>
      </c>
      <c r="D9" s="216" t="s">
        <v>153</v>
      </c>
      <c r="Q9" s="12" t="s">
        <v>152</v>
      </c>
      <c r="W9" s="27"/>
      <c r="X9" s="27"/>
      <c r="Y9" s="27"/>
      <c r="Z9" s="27"/>
      <c r="AA9" s="57"/>
      <c r="AB9" s="57"/>
      <c r="AD9" s="134" t="s">
        <v>6</v>
      </c>
      <c r="AE9" s="172" t="s">
        <v>153</v>
      </c>
      <c r="AR9" s="12" t="s">
        <v>152</v>
      </c>
    </row>
    <row r="10" spans="1:55" ht="14.25">
      <c r="A10">
        <f>IF(D10=0,"X",0)</f>
        <v>0</v>
      </c>
      <c r="B10" s="205">
        <f>IF(AA10=0,"",RANK(AA10,$AA$10:$AA$24))</f>
        <v>1</v>
      </c>
      <c r="C10" s="179">
        <v>0.4173611111111111</v>
      </c>
      <c r="D10" s="250" t="str">
        <f>D3</f>
        <v>Christian Jungk</v>
      </c>
      <c r="E10" s="251"/>
      <c r="F10" s="251"/>
      <c r="G10" s="251"/>
      <c r="H10" s="251"/>
      <c r="I10" s="252"/>
      <c r="J10" s="250" t="str">
        <f>D4</f>
        <v>Jan Utikal</v>
      </c>
      <c r="K10" s="251"/>
      <c r="L10" s="251"/>
      <c r="M10" s="251"/>
      <c r="N10" s="251"/>
      <c r="O10" s="252"/>
      <c r="P10" s="154">
        <v>1</v>
      </c>
      <c r="Q10" s="155" t="s">
        <v>26</v>
      </c>
      <c r="R10" s="154">
        <v>2</v>
      </c>
      <c r="S10" s="113">
        <f>IF(P10+R10&gt;1,1,0)</f>
        <v>1</v>
      </c>
      <c r="T10" s="113">
        <f>IF(P10&gt;R10,1,0)</f>
        <v>0</v>
      </c>
      <c r="U10" s="114">
        <f>IF(R10&gt;P10,1,0)</f>
        <v>1</v>
      </c>
      <c r="V10" s="166">
        <f>C10+$AC$2</f>
        <v>0.4590277777777778</v>
      </c>
      <c r="W10" s="110"/>
      <c r="X10" s="111"/>
      <c r="Y10" s="112"/>
      <c r="Z10" s="206">
        <f>IF(C10="",3,IF($AC$1&gt;V10,4,3))</f>
        <v>3</v>
      </c>
      <c r="AA10" s="132">
        <f>IF(OR(D10="",J10=""),0,9999)</f>
        <v>9999</v>
      </c>
      <c r="AB10" s="56"/>
      <c r="AC10" s="133">
        <f>IF(AX10=0,"",RANK(AX10,$AX$10:$AX$24))</f>
        <v>1</v>
      </c>
      <c r="AD10" s="181">
        <v>0.4173611111111111</v>
      </c>
      <c r="AE10" s="250" t="str">
        <f>AE3</f>
        <v>Marec Stachly</v>
      </c>
      <c r="AF10" s="251"/>
      <c r="AG10" s="251"/>
      <c r="AH10" s="251"/>
      <c r="AI10" s="251"/>
      <c r="AJ10" s="252"/>
      <c r="AK10" s="250" t="str">
        <f>AE4</f>
        <v>Tino Delling</v>
      </c>
      <c r="AL10" s="251"/>
      <c r="AM10" s="251"/>
      <c r="AN10" s="251"/>
      <c r="AO10" s="251"/>
      <c r="AP10" s="252"/>
      <c r="AQ10" s="154">
        <v>1</v>
      </c>
      <c r="AR10" s="155" t="s">
        <v>26</v>
      </c>
      <c r="AS10" s="154">
        <v>2</v>
      </c>
      <c r="AT10" s="113">
        <f>IF(AQ10+AS10&gt;1,1,0)</f>
        <v>1</v>
      </c>
      <c r="AU10" s="113">
        <f>IF(AQ10&gt;AS10,1,0)</f>
        <v>0</v>
      </c>
      <c r="AV10" s="114">
        <f>IF(AS10&gt;AQ10,1,0)</f>
        <v>1</v>
      </c>
      <c r="AW10" s="109"/>
      <c r="AX10" s="132">
        <f>IF(OR(AE10="",AK10=""),0,9999)</f>
        <v>9999</v>
      </c>
      <c r="AY10" s="166">
        <f aca="true" t="shared" si="5" ref="AY10:AY24">AD10+$AC$2</f>
        <v>0.4590277777777778</v>
      </c>
      <c r="BA10" s="169" t="s">
        <v>110</v>
      </c>
      <c r="BB10" s="169"/>
      <c r="BC10" s="170">
        <f>AC2</f>
        <v>0.041666666666666664</v>
      </c>
    </row>
    <row r="11" spans="1:51" ht="14.25">
      <c r="A11">
        <f aca="true" t="shared" si="6" ref="A11:A24">IF(D11=0,"X",0)</f>
        <v>0</v>
      </c>
      <c r="B11" s="205">
        <f aca="true" t="shared" si="7" ref="B11:B24">IF(AA11=0,"",RANK(AA11,$AA$10:$AA$24))</f>
        <v>2</v>
      </c>
      <c r="C11" s="179">
        <v>0.4173611111111111</v>
      </c>
      <c r="D11" s="250" t="str">
        <f>IF(D6="","",D5)</f>
        <v>Paul Arthur Jeroch</v>
      </c>
      <c r="E11" s="251"/>
      <c r="F11" s="251"/>
      <c r="G11" s="251"/>
      <c r="H11" s="251"/>
      <c r="I11" s="252"/>
      <c r="J11" s="250" t="str">
        <f>D6</f>
        <v>Thomas Metzler</v>
      </c>
      <c r="K11" s="251"/>
      <c r="L11" s="251"/>
      <c r="M11" s="251"/>
      <c r="N11" s="251"/>
      <c r="O11" s="252"/>
      <c r="P11" s="154">
        <v>0</v>
      </c>
      <c r="Q11" s="155" t="s">
        <v>26</v>
      </c>
      <c r="R11" s="154">
        <v>2</v>
      </c>
      <c r="S11" s="113">
        <f aca="true" t="shared" si="8" ref="S11:S16">IF(P11+R11&gt;1,1,0)</f>
        <v>1</v>
      </c>
      <c r="T11" s="113">
        <f aca="true" t="shared" si="9" ref="T11:T24">IF(P11&gt;R11,1,0)</f>
        <v>0</v>
      </c>
      <c r="U11" s="114">
        <f aca="true" t="shared" si="10" ref="U11:U24">IF(R11&gt;P11,1,0)</f>
        <v>1</v>
      </c>
      <c r="V11" s="166">
        <f aca="true" t="shared" si="11" ref="V11:V24">C11+$AC$2</f>
        <v>0.4590277777777778</v>
      </c>
      <c r="W11" s="110"/>
      <c r="X11" s="111"/>
      <c r="Y11" s="112"/>
      <c r="Z11" s="206">
        <f aca="true" t="shared" si="12" ref="Z11:Z24">IF(C11="",3,IF($AC$1&gt;V11,4,3))</f>
        <v>3</v>
      </c>
      <c r="AA11" s="132">
        <f>IF(OR(D11="",J11=""),0,9998)</f>
        <v>9998</v>
      </c>
      <c r="AB11" s="56"/>
      <c r="AC11" s="133">
        <f aca="true" t="shared" si="13" ref="AC11:AC24">IF(AX11=0,"",RANK(AX11,$AX$10:$AX$24))</f>
        <v>2</v>
      </c>
      <c r="AD11" s="181">
        <v>0.4173611111111111</v>
      </c>
      <c r="AE11" s="250" t="str">
        <f>IF(AE6="","",AE5)</f>
        <v>Johannes Heyer</v>
      </c>
      <c r="AF11" s="251"/>
      <c r="AG11" s="251"/>
      <c r="AH11" s="251"/>
      <c r="AI11" s="251"/>
      <c r="AJ11" s="252"/>
      <c r="AK11" s="250" t="str">
        <f>AE6</f>
        <v>Markus Elstermann</v>
      </c>
      <c r="AL11" s="251"/>
      <c r="AM11" s="251"/>
      <c r="AN11" s="251"/>
      <c r="AO11" s="251"/>
      <c r="AP11" s="252"/>
      <c r="AQ11" s="154">
        <v>1</v>
      </c>
      <c r="AR11" s="155" t="s">
        <v>26</v>
      </c>
      <c r="AS11" s="154">
        <v>2</v>
      </c>
      <c r="AT11" s="113">
        <f>IF(AQ11+AS11&gt;1,1,0)</f>
        <v>1</v>
      </c>
      <c r="AU11" s="113">
        <f aca="true" t="shared" si="14" ref="AU11:AU24">IF(AQ11&gt;AS11,1,0)</f>
        <v>0</v>
      </c>
      <c r="AV11" s="114">
        <f aca="true" t="shared" si="15" ref="AV11:AV24">IF(AS11&gt;AQ11,1,0)</f>
        <v>1</v>
      </c>
      <c r="AW11" s="109"/>
      <c r="AX11" s="132">
        <f>IF(OR(AE11="",AK11=""),0,9998)</f>
        <v>9998</v>
      </c>
      <c r="AY11" s="166">
        <f t="shared" si="5"/>
        <v>0.4590277777777778</v>
      </c>
    </row>
    <row r="12" spans="1:51" ht="14.25">
      <c r="A12">
        <f t="shared" si="6"/>
        <v>0</v>
      </c>
      <c r="B12" s="205">
        <f t="shared" si="7"/>
      </c>
      <c r="C12" s="180"/>
      <c r="D12" s="250">
        <f>IF(D8="","",D7)</f>
      </c>
      <c r="E12" s="251"/>
      <c r="F12" s="251"/>
      <c r="G12" s="251"/>
      <c r="H12" s="251"/>
      <c r="I12" s="252"/>
      <c r="J12" s="250">
        <f>D8</f>
      </c>
      <c r="K12" s="251"/>
      <c r="L12" s="251"/>
      <c r="M12" s="251"/>
      <c r="N12" s="251"/>
      <c r="O12" s="252"/>
      <c r="P12" s="154"/>
      <c r="Q12" s="155" t="s">
        <v>26</v>
      </c>
      <c r="R12" s="154"/>
      <c r="S12" s="113">
        <f t="shared" si="8"/>
        <v>0</v>
      </c>
      <c r="T12" s="113">
        <f t="shared" si="9"/>
        <v>0</v>
      </c>
      <c r="U12" s="114">
        <f t="shared" si="10"/>
        <v>0</v>
      </c>
      <c r="V12" s="166">
        <f t="shared" si="11"/>
        <v>0.041666666666666664</v>
      </c>
      <c r="W12" s="110"/>
      <c r="X12" s="111"/>
      <c r="Y12" s="112"/>
      <c r="Z12" s="206">
        <f t="shared" si="12"/>
        <v>3</v>
      </c>
      <c r="AA12" s="132">
        <f>IF(OR(D12="",J12=""),0,9997)</f>
        <v>0</v>
      </c>
      <c r="AB12" s="56"/>
      <c r="AC12" s="133">
        <f t="shared" si="13"/>
      </c>
      <c r="AD12" s="181"/>
      <c r="AE12" s="250">
        <f>IF(AE8="","",AE7)</f>
      </c>
      <c r="AF12" s="251"/>
      <c r="AG12" s="251"/>
      <c r="AH12" s="251"/>
      <c r="AI12" s="251"/>
      <c r="AJ12" s="252"/>
      <c r="AK12" s="250">
        <f>AE8</f>
      </c>
      <c r="AL12" s="251"/>
      <c r="AM12" s="251"/>
      <c r="AN12" s="251"/>
      <c r="AO12" s="251"/>
      <c r="AP12" s="252"/>
      <c r="AQ12" s="154"/>
      <c r="AR12" s="155" t="s">
        <v>26</v>
      </c>
      <c r="AS12" s="154"/>
      <c r="AT12" s="113">
        <f>IF(AQ12+AS12&gt;1,1,0)</f>
        <v>0</v>
      </c>
      <c r="AU12" s="113">
        <f t="shared" si="14"/>
        <v>0</v>
      </c>
      <c r="AV12" s="114">
        <f t="shared" si="15"/>
        <v>0</v>
      </c>
      <c r="AW12" s="109"/>
      <c r="AX12" s="132">
        <f>IF(OR(AE12="",AK12=""),0,9997)</f>
        <v>0</v>
      </c>
      <c r="AY12" s="166">
        <f t="shared" si="5"/>
        <v>0.041666666666666664</v>
      </c>
    </row>
    <row r="13" spans="1:53" ht="14.25">
      <c r="A13">
        <f t="shared" si="6"/>
        <v>0</v>
      </c>
      <c r="B13" s="205">
        <f t="shared" si="7"/>
        <v>3</v>
      </c>
      <c r="C13" s="180">
        <v>0.49374999999999997</v>
      </c>
      <c r="D13" s="250" t="str">
        <f>IF(D5="","",D4)</f>
        <v>Jan Utikal</v>
      </c>
      <c r="E13" s="251"/>
      <c r="F13" s="251"/>
      <c r="G13" s="251"/>
      <c r="H13" s="251"/>
      <c r="I13" s="252"/>
      <c r="J13" s="250" t="str">
        <f>D5</f>
        <v>Paul Arthur Jeroch</v>
      </c>
      <c r="K13" s="251"/>
      <c r="L13" s="251"/>
      <c r="M13" s="251"/>
      <c r="N13" s="251"/>
      <c r="O13" s="252"/>
      <c r="P13" s="154">
        <v>2</v>
      </c>
      <c r="Q13" s="155" t="s">
        <v>26</v>
      </c>
      <c r="R13" s="154">
        <v>0</v>
      </c>
      <c r="S13" s="113">
        <f t="shared" si="8"/>
        <v>1</v>
      </c>
      <c r="T13" s="113">
        <f t="shared" si="9"/>
        <v>1</v>
      </c>
      <c r="U13" s="114">
        <f t="shared" si="10"/>
        <v>0</v>
      </c>
      <c r="V13" s="166">
        <f t="shared" si="11"/>
        <v>0.5354166666666667</v>
      </c>
      <c r="W13" s="110"/>
      <c r="X13" s="111"/>
      <c r="Y13" s="112"/>
      <c r="Z13" s="206">
        <f t="shared" si="12"/>
        <v>3</v>
      </c>
      <c r="AA13" s="132">
        <f>IF(OR(D13="",J13=""),0,9996)</f>
        <v>9996</v>
      </c>
      <c r="AB13" s="56"/>
      <c r="AC13" s="133">
        <f t="shared" si="13"/>
        <v>3</v>
      </c>
      <c r="AD13" s="181">
        <v>0.5326388888888889</v>
      </c>
      <c r="AE13" s="250" t="str">
        <f>IF(AE5="","",AE4)</f>
        <v>Tino Delling</v>
      </c>
      <c r="AF13" s="251"/>
      <c r="AG13" s="251"/>
      <c r="AH13" s="251"/>
      <c r="AI13" s="251"/>
      <c r="AJ13" s="252"/>
      <c r="AK13" s="250" t="str">
        <f>AE5</f>
        <v>Johannes Heyer</v>
      </c>
      <c r="AL13" s="251"/>
      <c r="AM13" s="251"/>
      <c r="AN13" s="251"/>
      <c r="AO13" s="251"/>
      <c r="AP13" s="252"/>
      <c r="AQ13" s="154">
        <v>2</v>
      </c>
      <c r="AR13" s="155" t="s">
        <v>26</v>
      </c>
      <c r="AS13" s="154">
        <v>0</v>
      </c>
      <c r="AT13" s="113">
        <f>IF(AQ13+AS13&gt;1,1,0)</f>
        <v>1</v>
      </c>
      <c r="AU13" s="113">
        <f t="shared" si="14"/>
        <v>1</v>
      </c>
      <c r="AV13" s="114">
        <f t="shared" si="15"/>
        <v>0</v>
      </c>
      <c r="AW13" s="109"/>
      <c r="AX13" s="132">
        <f>IF(OR(AE13="",AK13=""),0,9996)</f>
        <v>9996</v>
      </c>
      <c r="AY13" s="166">
        <f t="shared" si="5"/>
        <v>0.5743055555555555</v>
      </c>
      <c r="BA13" s="46" t="s">
        <v>129</v>
      </c>
    </row>
    <row r="14" spans="1:53" ht="14.25">
      <c r="A14">
        <f t="shared" si="6"/>
        <v>0</v>
      </c>
      <c r="B14" s="205">
        <f t="shared" si="7"/>
        <v>4</v>
      </c>
      <c r="C14" s="180">
        <v>0.4597222222222222</v>
      </c>
      <c r="D14" s="250" t="str">
        <f>IF(D7="","",D6)</f>
        <v>Thomas Metzler</v>
      </c>
      <c r="E14" s="251"/>
      <c r="F14" s="251"/>
      <c r="G14" s="251"/>
      <c r="H14" s="251"/>
      <c r="I14" s="252"/>
      <c r="J14" s="250" t="str">
        <f>D7</f>
        <v>Sven Ohlenroth</v>
      </c>
      <c r="K14" s="251"/>
      <c r="L14" s="251"/>
      <c r="M14" s="251"/>
      <c r="N14" s="251"/>
      <c r="O14" s="252"/>
      <c r="P14" s="154">
        <v>2</v>
      </c>
      <c r="Q14" s="155" t="s">
        <v>26</v>
      </c>
      <c r="R14" s="154">
        <v>1</v>
      </c>
      <c r="S14" s="113">
        <f t="shared" si="8"/>
        <v>1</v>
      </c>
      <c r="T14" s="113">
        <f t="shared" si="9"/>
        <v>1</v>
      </c>
      <c r="U14" s="114">
        <f t="shared" si="10"/>
        <v>0</v>
      </c>
      <c r="V14" s="166">
        <f t="shared" si="11"/>
        <v>0.5013888888888889</v>
      </c>
      <c r="W14" s="110"/>
      <c r="X14" s="111"/>
      <c r="Y14" s="112"/>
      <c r="Z14" s="206">
        <f t="shared" si="12"/>
        <v>3</v>
      </c>
      <c r="AA14" s="132">
        <f>IF(OR(D14="",J14=""),0,9995)</f>
        <v>9995</v>
      </c>
      <c r="AB14" s="56"/>
      <c r="AC14" s="133">
        <f t="shared" si="13"/>
        <v>4</v>
      </c>
      <c r="AD14" s="181">
        <v>0.49583333333333335</v>
      </c>
      <c r="AE14" s="250" t="str">
        <f>IF(AE7="","",AE6)</f>
        <v>Markus Elstermann</v>
      </c>
      <c r="AF14" s="251"/>
      <c r="AG14" s="251"/>
      <c r="AH14" s="251"/>
      <c r="AI14" s="251"/>
      <c r="AJ14" s="252"/>
      <c r="AK14" s="250" t="str">
        <f>AE7</f>
        <v>Michael Kandler</v>
      </c>
      <c r="AL14" s="251"/>
      <c r="AM14" s="251"/>
      <c r="AN14" s="251"/>
      <c r="AO14" s="251"/>
      <c r="AP14" s="252"/>
      <c r="AQ14" s="154">
        <v>1</v>
      </c>
      <c r="AR14" s="155" t="s">
        <v>26</v>
      </c>
      <c r="AS14" s="154">
        <v>2</v>
      </c>
      <c r="AT14" s="113">
        <f>IF(AQ14+AS14&gt;1,1,0)</f>
        <v>1</v>
      </c>
      <c r="AU14" s="113">
        <f t="shared" si="14"/>
        <v>0</v>
      </c>
      <c r="AV14" s="114">
        <f t="shared" si="15"/>
        <v>1</v>
      </c>
      <c r="AW14" s="109"/>
      <c r="AX14" s="132">
        <f>IF(OR(AE14="",AK14=""),0,9995)</f>
        <v>9995</v>
      </c>
      <c r="AY14" s="166">
        <f t="shared" si="5"/>
        <v>0.5375</v>
      </c>
      <c r="BA14" s="46" t="s">
        <v>130</v>
      </c>
    </row>
    <row r="15" spans="1:62" ht="14.25">
      <c r="A15">
        <f t="shared" si="6"/>
        <v>0</v>
      </c>
      <c r="B15" s="205">
        <f t="shared" si="7"/>
        <v>5</v>
      </c>
      <c r="C15" s="180">
        <v>0.5243055555555556</v>
      </c>
      <c r="D15" s="250" t="str">
        <f>IF(D5="","",D3)</f>
        <v>Christian Jungk</v>
      </c>
      <c r="E15" s="251"/>
      <c r="F15" s="251"/>
      <c r="G15" s="251"/>
      <c r="H15" s="251"/>
      <c r="I15" s="252"/>
      <c r="J15" s="250" t="str">
        <f>D5</f>
        <v>Paul Arthur Jeroch</v>
      </c>
      <c r="K15" s="251"/>
      <c r="L15" s="251"/>
      <c r="M15" s="251"/>
      <c r="N15" s="251"/>
      <c r="O15" s="252"/>
      <c r="P15" s="154">
        <v>2</v>
      </c>
      <c r="Q15" s="155" t="s">
        <v>26</v>
      </c>
      <c r="R15" s="154">
        <v>0</v>
      </c>
      <c r="S15" s="113">
        <f t="shared" si="8"/>
        <v>1</v>
      </c>
      <c r="T15" s="113">
        <f t="shared" si="9"/>
        <v>1</v>
      </c>
      <c r="U15" s="114">
        <f t="shared" si="10"/>
        <v>0</v>
      </c>
      <c r="V15" s="166">
        <f t="shared" si="11"/>
        <v>0.5659722222222222</v>
      </c>
      <c r="W15" s="110"/>
      <c r="X15" s="111"/>
      <c r="Y15" s="112"/>
      <c r="Z15" s="206">
        <f t="shared" si="12"/>
        <v>3</v>
      </c>
      <c r="AA15" s="132">
        <f>IF(OR(D15="",J15=""),0,9994)</f>
        <v>9994</v>
      </c>
      <c r="AB15" s="56"/>
      <c r="AC15" s="133">
        <f t="shared" si="13"/>
        <v>5</v>
      </c>
      <c r="AD15" s="181">
        <v>0.49583333333333335</v>
      </c>
      <c r="AE15" s="250" t="str">
        <f>IF(AE5="","",AE3)</f>
        <v>Marec Stachly</v>
      </c>
      <c r="AF15" s="251"/>
      <c r="AG15" s="251"/>
      <c r="AH15" s="251"/>
      <c r="AI15" s="251"/>
      <c r="AJ15" s="252"/>
      <c r="AK15" s="250" t="str">
        <f>AE5</f>
        <v>Johannes Heyer</v>
      </c>
      <c r="AL15" s="251"/>
      <c r="AM15" s="251"/>
      <c r="AN15" s="251"/>
      <c r="AO15" s="251"/>
      <c r="AP15" s="252"/>
      <c r="AQ15" s="154">
        <v>2</v>
      </c>
      <c r="AR15" s="155" t="s">
        <v>26</v>
      </c>
      <c r="AS15" s="154">
        <v>0</v>
      </c>
      <c r="AT15" s="113">
        <f aca="true" t="shared" si="16" ref="AT15:AT24">IF(AQ15+AS15&gt;1,1,0)</f>
        <v>1</v>
      </c>
      <c r="AU15" s="113">
        <f t="shared" si="14"/>
        <v>1</v>
      </c>
      <c r="AV15" s="114">
        <f t="shared" si="15"/>
        <v>0</v>
      </c>
      <c r="AW15" s="109"/>
      <c r="AX15" s="132">
        <f>IF(OR(AE15="",AK15=""),0,9994)</f>
        <v>9994</v>
      </c>
      <c r="AY15" s="166">
        <f t="shared" si="5"/>
        <v>0.5375</v>
      </c>
      <c r="BA15" s="178" t="s">
        <v>131</v>
      </c>
      <c r="BH15" s="25"/>
      <c r="BI15" s="28"/>
      <c r="BJ15" s="28"/>
    </row>
    <row r="16" spans="1:62" ht="14.25">
      <c r="A16">
        <f t="shared" si="6"/>
        <v>0</v>
      </c>
      <c r="B16" s="205">
        <f t="shared" si="7"/>
        <v>6</v>
      </c>
      <c r="C16" s="180">
        <v>0.6180555555555556</v>
      </c>
      <c r="D16" s="250" t="str">
        <f>IF(D6="","",D4)</f>
        <v>Jan Utikal</v>
      </c>
      <c r="E16" s="251"/>
      <c r="F16" s="251"/>
      <c r="G16" s="251"/>
      <c r="H16" s="251"/>
      <c r="I16" s="252"/>
      <c r="J16" s="250" t="str">
        <f>D6</f>
        <v>Thomas Metzler</v>
      </c>
      <c r="K16" s="251"/>
      <c r="L16" s="251"/>
      <c r="M16" s="251"/>
      <c r="N16" s="251"/>
      <c r="O16" s="252"/>
      <c r="P16" s="154">
        <v>2</v>
      </c>
      <c r="Q16" s="155" t="s">
        <v>26</v>
      </c>
      <c r="R16" s="154">
        <v>0</v>
      </c>
      <c r="S16" s="113">
        <f t="shared" si="8"/>
        <v>1</v>
      </c>
      <c r="T16" s="113">
        <f t="shared" si="9"/>
        <v>1</v>
      </c>
      <c r="U16" s="114">
        <f t="shared" si="10"/>
        <v>0</v>
      </c>
      <c r="V16" s="166">
        <f t="shared" si="11"/>
        <v>0.6597222222222222</v>
      </c>
      <c r="W16" s="110"/>
      <c r="X16" s="111"/>
      <c r="Y16" s="112"/>
      <c r="Z16" s="206">
        <f t="shared" si="12"/>
        <v>3</v>
      </c>
      <c r="AA16" s="132">
        <f>IF(OR(D16="",J16=""),0,9993)</f>
        <v>9993</v>
      </c>
      <c r="AB16" s="56"/>
      <c r="AC16" s="133">
        <f t="shared" si="13"/>
        <v>6</v>
      </c>
      <c r="AD16" s="181">
        <v>0.5965277777777778</v>
      </c>
      <c r="AE16" s="250" t="str">
        <f>IF(AE6="","",AE4)</f>
        <v>Tino Delling</v>
      </c>
      <c r="AF16" s="251"/>
      <c r="AG16" s="251"/>
      <c r="AH16" s="251"/>
      <c r="AI16" s="251"/>
      <c r="AJ16" s="252"/>
      <c r="AK16" s="250" t="str">
        <f>AE6</f>
        <v>Markus Elstermann</v>
      </c>
      <c r="AL16" s="251"/>
      <c r="AM16" s="251"/>
      <c r="AN16" s="251"/>
      <c r="AO16" s="251"/>
      <c r="AP16" s="252"/>
      <c r="AQ16" s="154">
        <v>2</v>
      </c>
      <c r="AR16" s="155" t="s">
        <v>26</v>
      </c>
      <c r="AS16" s="154">
        <v>0</v>
      </c>
      <c r="AT16" s="113">
        <f t="shared" si="16"/>
        <v>1</v>
      </c>
      <c r="AU16" s="113">
        <f t="shared" si="14"/>
        <v>1</v>
      </c>
      <c r="AV16" s="114">
        <f t="shared" si="15"/>
        <v>0</v>
      </c>
      <c r="AW16" s="109"/>
      <c r="AX16" s="132">
        <f>IF(OR(AE16="",AK16=""),0,9993)</f>
        <v>9993</v>
      </c>
      <c r="AY16" s="166">
        <f t="shared" si="5"/>
        <v>0.6381944444444444</v>
      </c>
      <c r="BA16" s="178" t="s">
        <v>132</v>
      </c>
      <c r="BH16" s="25"/>
      <c r="BI16" s="28"/>
      <c r="BJ16" s="28"/>
    </row>
    <row r="17" spans="1:51" ht="14.25">
      <c r="A17">
        <f t="shared" si="6"/>
        <v>0</v>
      </c>
      <c r="B17" s="205">
        <f t="shared" si="7"/>
        <v>7</v>
      </c>
      <c r="C17" s="180">
        <v>0.5611111111111111</v>
      </c>
      <c r="D17" s="250" t="str">
        <f>IF(D6="","",D3)</f>
        <v>Christian Jungk</v>
      </c>
      <c r="E17" s="251"/>
      <c r="F17" s="251"/>
      <c r="G17" s="251"/>
      <c r="H17" s="251"/>
      <c r="I17" s="252"/>
      <c r="J17" s="250" t="str">
        <f>D6</f>
        <v>Thomas Metzler</v>
      </c>
      <c r="K17" s="251"/>
      <c r="L17" s="251"/>
      <c r="M17" s="251"/>
      <c r="N17" s="251"/>
      <c r="O17" s="252"/>
      <c r="P17" s="154">
        <v>2</v>
      </c>
      <c r="Q17" s="155" t="s">
        <v>26</v>
      </c>
      <c r="R17" s="154">
        <v>0</v>
      </c>
      <c r="S17" s="113">
        <f aca="true" t="shared" si="17" ref="S17:S24">IF(P17+R17&gt;1,1,0)</f>
        <v>1</v>
      </c>
      <c r="T17" s="113">
        <f t="shared" si="9"/>
        <v>1</v>
      </c>
      <c r="U17" s="114">
        <f t="shared" si="10"/>
        <v>0</v>
      </c>
      <c r="V17" s="166">
        <f t="shared" si="11"/>
        <v>0.6027777777777777</v>
      </c>
      <c r="W17" s="110"/>
      <c r="X17" s="111"/>
      <c r="Y17" s="112"/>
      <c r="Z17" s="206">
        <f t="shared" si="12"/>
        <v>3</v>
      </c>
      <c r="AA17" s="132">
        <f>IF(OR(D17="",J17=""),0,9992)</f>
        <v>9992</v>
      </c>
      <c r="AB17" s="56"/>
      <c r="AC17" s="133">
        <f t="shared" si="13"/>
        <v>7</v>
      </c>
      <c r="AD17" s="181">
        <v>0.5590277777777778</v>
      </c>
      <c r="AE17" s="250" t="str">
        <f>IF(AE6="","",AE3)</f>
        <v>Marec Stachly</v>
      </c>
      <c r="AF17" s="251"/>
      <c r="AG17" s="251"/>
      <c r="AH17" s="251"/>
      <c r="AI17" s="251"/>
      <c r="AJ17" s="252"/>
      <c r="AK17" s="250" t="str">
        <f>AE6</f>
        <v>Markus Elstermann</v>
      </c>
      <c r="AL17" s="251"/>
      <c r="AM17" s="251"/>
      <c r="AN17" s="251"/>
      <c r="AO17" s="251"/>
      <c r="AP17" s="252"/>
      <c r="AQ17" s="154">
        <v>2</v>
      </c>
      <c r="AR17" s="155" t="s">
        <v>26</v>
      </c>
      <c r="AS17" s="154">
        <v>0</v>
      </c>
      <c r="AT17" s="113">
        <f t="shared" si="16"/>
        <v>1</v>
      </c>
      <c r="AU17" s="113">
        <f t="shared" si="14"/>
        <v>1</v>
      </c>
      <c r="AV17" s="114">
        <f t="shared" si="15"/>
        <v>0</v>
      </c>
      <c r="AW17" s="109"/>
      <c r="AX17" s="132">
        <f>IF(OR(AE17="",AK17=""),0,9992)</f>
        <v>9992</v>
      </c>
      <c r="AY17" s="166">
        <f t="shared" si="5"/>
        <v>0.6006944444444444</v>
      </c>
    </row>
    <row r="18" spans="1:51" ht="14.25">
      <c r="A18">
        <f t="shared" si="6"/>
        <v>0</v>
      </c>
      <c r="B18" s="205">
        <f t="shared" si="7"/>
        <v>8</v>
      </c>
      <c r="C18" s="180">
        <v>0.5756944444444444</v>
      </c>
      <c r="D18" s="250" t="str">
        <f>IF(D7="","",D5)</f>
        <v>Paul Arthur Jeroch</v>
      </c>
      <c r="E18" s="251"/>
      <c r="F18" s="251"/>
      <c r="G18" s="251"/>
      <c r="H18" s="251"/>
      <c r="I18" s="252"/>
      <c r="J18" s="250" t="str">
        <f>D7</f>
        <v>Sven Ohlenroth</v>
      </c>
      <c r="K18" s="251"/>
      <c r="L18" s="251"/>
      <c r="M18" s="251"/>
      <c r="N18" s="251"/>
      <c r="O18" s="252"/>
      <c r="P18" s="154">
        <v>0</v>
      </c>
      <c r="Q18" s="155" t="s">
        <v>26</v>
      </c>
      <c r="R18" s="154">
        <v>2</v>
      </c>
      <c r="S18" s="113">
        <f t="shared" si="17"/>
        <v>1</v>
      </c>
      <c r="T18" s="113">
        <f t="shared" si="9"/>
        <v>0</v>
      </c>
      <c r="U18" s="114">
        <f t="shared" si="10"/>
        <v>1</v>
      </c>
      <c r="V18" s="166">
        <f t="shared" si="11"/>
        <v>0.617361111111111</v>
      </c>
      <c r="W18" s="110"/>
      <c r="X18" s="111"/>
      <c r="Y18" s="112"/>
      <c r="Z18" s="206">
        <f t="shared" si="12"/>
        <v>3</v>
      </c>
      <c r="AA18" s="132">
        <f>IF(OR(D18="",J18=""),0,9991)</f>
        <v>9991</v>
      </c>
      <c r="AB18" s="56"/>
      <c r="AC18" s="133">
        <f t="shared" si="13"/>
        <v>8</v>
      </c>
      <c r="AD18" s="181">
        <v>0.5645833333333333</v>
      </c>
      <c r="AE18" s="250" t="str">
        <f>IF(AE7="","",AE5)</f>
        <v>Johannes Heyer</v>
      </c>
      <c r="AF18" s="251"/>
      <c r="AG18" s="251"/>
      <c r="AH18" s="251"/>
      <c r="AI18" s="251"/>
      <c r="AJ18" s="252"/>
      <c r="AK18" s="250" t="str">
        <f>AE7</f>
        <v>Michael Kandler</v>
      </c>
      <c r="AL18" s="251"/>
      <c r="AM18" s="251"/>
      <c r="AN18" s="251"/>
      <c r="AO18" s="251"/>
      <c r="AP18" s="252"/>
      <c r="AQ18" s="154">
        <v>2</v>
      </c>
      <c r="AR18" s="155" t="s">
        <v>26</v>
      </c>
      <c r="AS18" s="154">
        <v>0</v>
      </c>
      <c r="AT18" s="113">
        <f t="shared" si="16"/>
        <v>1</v>
      </c>
      <c r="AU18" s="113">
        <f t="shared" si="14"/>
        <v>1</v>
      </c>
      <c r="AV18" s="114">
        <f t="shared" si="15"/>
        <v>0</v>
      </c>
      <c r="AW18" s="109"/>
      <c r="AX18" s="132">
        <f>IF(OR(AE18="",AK18=""),0,9991)</f>
        <v>9991</v>
      </c>
      <c r="AY18" s="166">
        <f t="shared" si="5"/>
        <v>0.60625</v>
      </c>
    </row>
    <row r="19" spans="1:51" ht="14.25">
      <c r="A19">
        <f t="shared" si="6"/>
        <v>0</v>
      </c>
      <c r="B19" s="205">
        <f>IF(AA19=0,"",RANK(AA19,$AA$10:$AA$24))</f>
      </c>
      <c r="C19" s="180"/>
      <c r="D19" s="250">
        <f>IF(D8="","",D8)</f>
      </c>
      <c r="E19" s="251"/>
      <c r="F19" s="251"/>
      <c r="G19" s="251"/>
      <c r="H19" s="251"/>
      <c r="I19" s="252"/>
      <c r="J19" s="250">
        <f>IF(D8="","",D4)</f>
      </c>
      <c r="K19" s="251"/>
      <c r="L19" s="251"/>
      <c r="M19" s="251"/>
      <c r="N19" s="251"/>
      <c r="O19" s="252"/>
      <c r="P19" s="154"/>
      <c r="Q19" s="155" t="s">
        <v>26</v>
      </c>
      <c r="R19" s="154"/>
      <c r="S19" s="113">
        <f t="shared" si="17"/>
        <v>0</v>
      </c>
      <c r="T19" s="113">
        <f t="shared" si="9"/>
        <v>0</v>
      </c>
      <c r="U19" s="114">
        <f t="shared" si="10"/>
        <v>0</v>
      </c>
      <c r="V19" s="166">
        <f t="shared" si="11"/>
        <v>0.041666666666666664</v>
      </c>
      <c r="W19" s="110"/>
      <c r="X19" s="111"/>
      <c r="Y19" s="112"/>
      <c r="Z19" s="206">
        <f t="shared" si="12"/>
        <v>3</v>
      </c>
      <c r="AA19" s="132">
        <f>IF(OR(D19="",J19=""),0,9990)</f>
        <v>0</v>
      </c>
      <c r="AB19" s="56"/>
      <c r="AC19" s="133">
        <f t="shared" si="13"/>
      </c>
      <c r="AD19" s="181"/>
      <c r="AE19" s="250">
        <f>IF(AE8="","",AE8)</f>
      </c>
      <c r="AF19" s="251"/>
      <c r="AG19" s="251"/>
      <c r="AH19" s="251"/>
      <c r="AI19" s="251"/>
      <c r="AJ19" s="252"/>
      <c r="AK19" s="250">
        <f>IF(AE8="","",AE4)</f>
      </c>
      <c r="AL19" s="251"/>
      <c r="AM19" s="251"/>
      <c r="AN19" s="251"/>
      <c r="AO19" s="251"/>
      <c r="AP19" s="252"/>
      <c r="AQ19" s="154"/>
      <c r="AR19" s="155" t="s">
        <v>26</v>
      </c>
      <c r="AS19" s="154"/>
      <c r="AT19" s="113">
        <f t="shared" si="16"/>
        <v>0</v>
      </c>
      <c r="AU19" s="113">
        <f t="shared" si="14"/>
        <v>0</v>
      </c>
      <c r="AV19" s="114">
        <f t="shared" si="15"/>
        <v>0</v>
      </c>
      <c r="AW19" s="109"/>
      <c r="AX19" s="132">
        <f>IF(OR(AE19="",AK19=""),0,9990)</f>
        <v>0</v>
      </c>
      <c r="AY19" s="166">
        <f t="shared" si="5"/>
        <v>0.041666666666666664</v>
      </c>
    </row>
    <row r="20" spans="1:51" ht="14.25">
      <c r="A20">
        <f t="shared" si="6"/>
        <v>0</v>
      </c>
      <c r="B20" s="205">
        <f t="shared" si="7"/>
        <v>9</v>
      </c>
      <c r="C20" s="180">
        <v>0.6180555555555556</v>
      </c>
      <c r="D20" s="250" t="str">
        <f>IF(D7="","",D7)</f>
        <v>Sven Ohlenroth</v>
      </c>
      <c r="E20" s="251"/>
      <c r="F20" s="251"/>
      <c r="G20" s="251"/>
      <c r="H20" s="251"/>
      <c r="I20" s="252"/>
      <c r="J20" s="250" t="str">
        <f>IF(D20="","",D3)</f>
        <v>Christian Jungk</v>
      </c>
      <c r="K20" s="251"/>
      <c r="L20" s="251"/>
      <c r="M20" s="251"/>
      <c r="N20" s="251"/>
      <c r="O20" s="252"/>
      <c r="P20" s="154">
        <v>2</v>
      </c>
      <c r="Q20" s="155" t="s">
        <v>26</v>
      </c>
      <c r="R20" s="154">
        <v>0</v>
      </c>
      <c r="S20" s="113">
        <f t="shared" si="17"/>
        <v>1</v>
      </c>
      <c r="T20" s="113">
        <f t="shared" si="9"/>
        <v>1</v>
      </c>
      <c r="U20" s="114">
        <f t="shared" si="10"/>
        <v>0</v>
      </c>
      <c r="V20" s="166">
        <f t="shared" si="11"/>
        <v>0.6597222222222222</v>
      </c>
      <c r="W20" s="110"/>
      <c r="X20" s="111"/>
      <c r="Y20" s="112"/>
      <c r="Z20" s="206">
        <f t="shared" si="12"/>
        <v>3</v>
      </c>
      <c r="AA20" s="132">
        <f>IF(OR(D20="",J20=""),0,9989)</f>
        <v>9989</v>
      </c>
      <c r="AB20" s="56"/>
      <c r="AC20" s="133">
        <f t="shared" si="13"/>
        <v>9</v>
      </c>
      <c r="AD20" s="181">
        <v>0.5979166666666667</v>
      </c>
      <c r="AE20" s="250" t="str">
        <f>IF(AE7="","",AE7)</f>
        <v>Michael Kandler</v>
      </c>
      <c r="AF20" s="251"/>
      <c r="AG20" s="251"/>
      <c r="AH20" s="251"/>
      <c r="AI20" s="251"/>
      <c r="AJ20" s="252"/>
      <c r="AK20" s="250" t="str">
        <f>IF(AE20="","",AE3)</f>
        <v>Marec Stachly</v>
      </c>
      <c r="AL20" s="251"/>
      <c r="AM20" s="251"/>
      <c r="AN20" s="251"/>
      <c r="AO20" s="251"/>
      <c r="AP20" s="252"/>
      <c r="AQ20" s="154">
        <v>2</v>
      </c>
      <c r="AR20" s="155" t="s">
        <v>26</v>
      </c>
      <c r="AS20" s="154">
        <v>1</v>
      </c>
      <c r="AT20" s="113">
        <f t="shared" si="16"/>
        <v>1</v>
      </c>
      <c r="AU20" s="113">
        <f t="shared" si="14"/>
        <v>1</v>
      </c>
      <c r="AV20" s="114">
        <f t="shared" si="15"/>
        <v>0</v>
      </c>
      <c r="AW20" s="109"/>
      <c r="AX20" s="132">
        <f>IF(OR(AE20="",AK20=""),0,9989)</f>
        <v>9989</v>
      </c>
      <c r="AY20" s="166">
        <f t="shared" si="5"/>
        <v>0.6395833333333333</v>
      </c>
    </row>
    <row r="21" spans="1:51" ht="14.25">
      <c r="A21">
        <f t="shared" si="6"/>
        <v>0</v>
      </c>
      <c r="B21" s="205">
        <f t="shared" si="7"/>
      </c>
      <c r="C21" s="180"/>
      <c r="D21" s="250">
        <f>IF(D8="","",D5)</f>
      </c>
      <c r="E21" s="251"/>
      <c r="F21" s="251"/>
      <c r="G21" s="251"/>
      <c r="H21" s="251"/>
      <c r="I21" s="252"/>
      <c r="J21" s="250">
        <f>IF(D8="","",D8)</f>
      </c>
      <c r="K21" s="251"/>
      <c r="L21" s="251"/>
      <c r="M21" s="251"/>
      <c r="N21" s="251"/>
      <c r="O21" s="252"/>
      <c r="P21" s="154"/>
      <c r="Q21" s="155" t="s">
        <v>26</v>
      </c>
      <c r="R21" s="154"/>
      <c r="S21" s="113">
        <f t="shared" si="17"/>
        <v>0</v>
      </c>
      <c r="T21" s="113">
        <f t="shared" si="9"/>
        <v>0</v>
      </c>
      <c r="U21" s="114">
        <f t="shared" si="10"/>
        <v>0</v>
      </c>
      <c r="V21" s="166">
        <f t="shared" si="11"/>
        <v>0.041666666666666664</v>
      </c>
      <c r="W21" s="110"/>
      <c r="X21" s="111"/>
      <c r="Y21" s="112"/>
      <c r="Z21" s="206">
        <f t="shared" si="12"/>
        <v>3</v>
      </c>
      <c r="AA21" s="132">
        <f>IF(OR(D21="",J21=""),0,9988)</f>
        <v>0</v>
      </c>
      <c r="AB21" s="56"/>
      <c r="AC21" s="133">
        <f t="shared" si="13"/>
      </c>
      <c r="AD21" s="181"/>
      <c r="AE21" s="250">
        <f>IF(AE8="","",AE5)</f>
      </c>
      <c r="AF21" s="251"/>
      <c r="AG21" s="251"/>
      <c r="AH21" s="251"/>
      <c r="AI21" s="251"/>
      <c r="AJ21" s="252"/>
      <c r="AK21" s="250">
        <f>AE8</f>
      </c>
      <c r="AL21" s="251"/>
      <c r="AM21" s="251"/>
      <c r="AN21" s="251"/>
      <c r="AO21" s="251"/>
      <c r="AP21" s="252"/>
      <c r="AQ21" s="154"/>
      <c r="AR21" s="155" t="s">
        <v>26</v>
      </c>
      <c r="AS21" s="154"/>
      <c r="AT21" s="113">
        <f t="shared" si="16"/>
        <v>0</v>
      </c>
      <c r="AU21" s="113">
        <f t="shared" si="14"/>
        <v>0</v>
      </c>
      <c r="AV21" s="114">
        <f t="shared" si="15"/>
        <v>0</v>
      </c>
      <c r="AW21" s="109"/>
      <c r="AX21" s="132">
        <f>IF(OR(AE21="",AK21=""),0,9988)</f>
        <v>0</v>
      </c>
      <c r="AY21" s="166">
        <f t="shared" si="5"/>
        <v>0.041666666666666664</v>
      </c>
    </row>
    <row r="22" spans="1:51" ht="14.25">
      <c r="A22">
        <f t="shared" si="6"/>
        <v>0</v>
      </c>
      <c r="B22" s="205">
        <f t="shared" si="7"/>
        <v>10</v>
      </c>
      <c r="C22" s="180">
        <v>0.5243055555555556</v>
      </c>
      <c r="D22" s="250" t="str">
        <f>IF(D7="","",D4)</f>
        <v>Jan Utikal</v>
      </c>
      <c r="E22" s="251"/>
      <c r="F22" s="251"/>
      <c r="G22" s="251"/>
      <c r="H22" s="251"/>
      <c r="I22" s="252"/>
      <c r="J22" s="250" t="str">
        <f>D7</f>
        <v>Sven Ohlenroth</v>
      </c>
      <c r="K22" s="251"/>
      <c r="L22" s="251"/>
      <c r="M22" s="251"/>
      <c r="N22" s="251"/>
      <c r="O22" s="252"/>
      <c r="P22" s="154">
        <v>2</v>
      </c>
      <c r="Q22" s="155" t="s">
        <v>26</v>
      </c>
      <c r="R22" s="154">
        <v>0</v>
      </c>
      <c r="S22" s="113">
        <f t="shared" si="17"/>
        <v>1</v>
      </c>
      <c r="T22" s="113">
        <f t="shared" si="9"/>
        <v>1</v>
      </c>
      <c r="U22" s="114">
        <f t="shared" si="10"/>
        <v>0</v>
      </c>
      <c r="V22" s="166">
        <f t="shared" si="11"/>
        <v>0.5659722222222222</v>
      </c>
      <c r="W22" s="110"/>
      <c r="X22" s="111"/>
      <c r="Y22" s="112"/>
      <c r="Z22" s="206">
        <f t="shared" si="12"/>
        <v>3</v>
      </c>
      <c r="AA22" s="132">
        <f>IF(OR(D22="",J22=""),0,9987)</f>
        <v>9987</v>
      </c>
      <c r="AB22" s="56"/>
      <c r="AC22" s="133">
        <f t="shared" si="13"/>
        <v>10</v>
      </c>
      <c r="AD22" s="181">
        <v>0.4590277777777778</v>
      </c>
      <c r="AE22" s="250" t="str">
        <f>IF(AE7="","",AE4)</f>
        <v>Tino Delling</v>
      </c>
      <c r="AF22" s="251"/>
      <c r="AG22" s="251"/>
      <c r="AH22" s="251"/>
      <c r="AI22" s="251"/>
      <c r="AJ22" s="252"/>
      <c r="AK22" s="250" t="str">
        <f>AE7</f>
        <v>Michael Kandler</v>
      </c>
      <c r="AL22" s="251"/>
      <c r="AM22" s="251"/>
      <c r="AN22" s="251"/>
      <c r="AO22" s="251"/>
      <c r="AP22" s="252"/>
      <c r="AQ22" s="154">
        <v>2</v>
      </c>
      <c r="AR22" s="155" t="s">
        <v>26</v>
      </c>
      <c r="AS22" s="154">
        <v>1</v>
      </c>
      <c r="AT22" s="113">
        <f t="shared" si="16"/>
        <v>1</v>
      </c>
      <c r="AU22" s="113">
        <f t="shared" si="14"/>
        <v>1</v>
      </c>
      <c r="AV22" s="114">
        <f t="shared" si="15"/>
        <v>0</v>
      </c>
      <c r="AW22" s="109"/>
      <c r="AX22" s="132">
        <f>IF(OR(AE22="",AK22=""),0,9987)</f>
        <v>9987</v>
      </c>
      <c r="AY22" s="166">
        <f t="shared" si="5"/>
        <v>0.5006944444444444</v>
      </c>
    </row>
    <row r="23" spans="1:52" ht="14.25">
      <c r="A23">
        <f t="shared" si="6"/>
        <v>0</v>
      </c>
      <c r="B23" s="205">
        <f t="shared" si="7"/>
      </c>
      <c r="C23" s="180"/>
      <c r="D23" s="250">
        <f>IF(D8="","",D3)</f>
      </c>
      <c r="E23" s="251"/>
      <c r="F23" s="251"/>
      <c r="G23" s="251"/>
      <c r="H23" s="251"/>
      <c r="I23" s="252"/>
      <c r="J23" s="250">
        <f>D8</f>
      </c>
      <c r="K23" s="251"/>
      <c r="L23" s="251"/>
      <c r="M23" s="251"/>
      <c r="N23" s="251"/>
      <c r="O23" s="252"/>
      <c r="P23" s="154"/>
      <c r="Q23" s="155" t="s">
        <v>26</v>
      </c>
      <c r="R23" s="154"/>
      <c r="S23" s="113">
        <f t="shared" si="17"/>
        <v>0</v>
      </c>
      <c r="T23" s="113">
        <f t="shared" si="9"/>
        <v>0</v>
      </c>
      <c r="U23" s="114">
        <f t="shared" si="10"/>
        <v>0</v>
      </c>
      <c r="V23" s="166">
        <f t="shared" si="11"/>
        <v>0.041666666666666664</v>
      </c>
      <c r="W23" s="110"/>
      <c r="X23" s="111"/>
      <c r="Y23" s="112"/>
      <c r="Z23" s="206">
        <f t="shared" si="12"/>
        <v>3</v>
      </c>
      <c r="AA23" s="132">
        <f>IF(OR(D23="",J23=""),0,9986)</f>
        <v>0</v>
      </c>
      <c r="AB23" s="56"/>
      <c r="AC23" s="133">
        <f t="shared" si="13"/>
      </c>
      <c r="AD23" s="181"/>
      <c r="AE23" s="250">
        <f>IF(AE8="","",AE3)</f>
      </c>
      <c r="AF23" s="251"/>
      <c r="AG23" s="251"/>
      <c r="AH23" s="251"/>
      <c r="AI23" s="251"/>
      <c r="AJ23" s="252"/>
      <c r="AK23" s="250">
        <f>AE8</f>
      </c>
      <c r="AL23" s="251"/>
      <c r="AM23" s="251"/>
      <c r="AN23" s="251"/>
      <c r="AO23" s="251"/>
      <c r="AP23" s="252"/>
      <c r="AQ23" s="154"/>
      <c r="AR23" s="155" t="s">
        <v>26</v>
      </c>
      <c r="AS23" s="154"/>
      <c r="AT23" s="113">
        <f t="shared" si="16"/>
        <v>0</v>
      </c>
      <c r="AU23" s="113">
        <f t="shared" si="14"/>
        <v>0</v>
      </c>
      <c r="AV23" s="114">
        <f t="shared" si="15"/>
        <v>0</v>
      </c>
      <c r="AW23" s="109"/>
      <c r="AX23" s="132">
        <f>IF(OR(AE23="",AK23=""),0,9986)</f>
        <v>0</v>
      </c>
      <c r="AY23" s="166">
        <f t="shared" si="5"/>
        <v>0.041666666666666664</v>
      </c>
      <c r="AZ23" s="116"/>
    </row>
    <row r="24" spans="1:56" ht="14.25">
      <c r="A24">
        <f t="shared" si="6"/>
        <v>0</v>
      </c>
      <c r="B24" s="205">
        <f t="shared" si="7"/>
      </c>
      <c r="C24" s="180"/>
      <c r="D24" s="250">
        <f>IF(D8="","",D6)</f>
      </c>
      <c r="E24" s="251"/>
      <c r="F24" s="251"/>
      <c r="G24" s="251"/>
      <c r="H24" s="251"/>
      <c r="I24" s="252"/>
      <c r="J24" s="250">
        <f>D8</f>
      </c>
      <c r="K24" s="251"/>
      <c r="L24" s="251"/>
      <c r="M24" s="251"/>
      <c r="N24" s="251"/>
      <c r="O24" s="252"/>
      <c r="P24" s="154"/>
      <c r="Q24" s="155" t="s">
        <v>26</v>
      </c>
      <c r="R24" s="154"/>
      <c r="S24" s="113">
        <f t="shared" si="17"/>
        <v>0</v>
      </c>
      <c r="T24" s="113">
        <f t="shared" si="9"/>
        <v>0</v>
      </c>
      <c r="U24" s="114">
        <f t="shared" si="10"/>
        <v>0</v>
      </c>
      <c r="V24" s="166">
        <f t="shared" si="11"/>
        <v>0.041666666666666664</v>
      </c>
      <c r="W24" s="110"/>
      <c r="X24" s="111"/>
      <c r="Y24" s="112"/>
      <c r="Z24" s="206">
        <f t="shared" si="12"/>
        <v>3</v>
      </c>
      <c r="AA24" s="132">
        <f>IF(OR(D24="",J24=""),0,9985)</f>
        <v>0</v>
      </c>
      <c r="AB24" s="56"/>
      <c r="AC24" s="133">
        <f t="shared" si="13"/>
      </c>
      <c r="AD24" s="181"/>
      <c r="AE24" s="250">
        <f>IF(AE8="","",AE6)</f>
      </c>
      <c r="AF24" s="251"/>
      <c r="AG24" s="251"/>
      <c r="AH24" s="251"/>
      <c r="AI24" s="251"/>
      <c r="AJ24" s="252"/>
      <c r="AK24" s="250">
        <f>AE8</f>
      </c>
      <c r="AL24" s="251"/>
      <c r="AM24" s="251"/>
      <c r="AN24" s="251"/>
      <c r="AO24" s="251"/>
      <c r="AP24" s="252"/>
      <c r="AQ24" s="154"/>
      <c r="AR24" s="155" t="s">
        <v>26</v>
      </c>
      <c r="AS24" s="154"/>
      <c r="AT24" s="113">
        <f t="shared" si="16"/>
        <v>0</v>
      </c>
      <c r="AU24" s="113">
        <f t="shared" si="14"/>
        <v>0</v>
      </c>
      <c r="AV24" s="114">
        <f t="shared" si="15"/>
        <v>0</v>
      </c>
      <c r="AW24" s="114"/>
      <c r="AX24" s="132">
        <f>IF(OR(AE24="",AK24=""),0,9985)</f>
        <v>0</v>
      </c>
      <c r="AY24" s="219">
        <f t="shared" si="5"/>
        <v>0.041666666666666664</v>
      </c>
      <c r="BA24" s="54"/>
      <c r="BB24" s="54"/>
      <c r="BC24" s="54"/>
      <c r="BD24" s="54"/>
    </row>
    <row r="25" spans="3:56" ht="12.75">
      <c r="C25" s="54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54">
        <f>SUM(P10:P24)</f>
        <v>15</v>
      </c>
      <c r="Q25" s="54"/>
      <c r="R25" s="54">
        <f>SUM(R10:R24)</f>
        <v>7</v>
      </c>
      <c r="S25" s="113"/>
      <c r="T25" s="113">
        <f>SUM(T10:T24)</f>
        <v>7</v>
      </c>
      <c r="U25" s="113">
        <f>SUM(U10:U24)</f>
        <v>3</v>
      </c>
      <c r="V25" s="54"/>
      <c r="W25" s="54"/>
      <c r="X25" s="54"/>
      <c r="Y25" s="54"/>
      <c r="Z25" s="54"/>
      <c r="AA25" s="175">
        <f>T25+U25</f>
        <v>10</v>
      </c>
      <c r="AB25" s="135"/>
      <c r="AC25" s="54"/>
      <c r="AD25" s="54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54">
        <f>SUM(AQ10:AQ24)</f>
        <v>17</v>
      </c>
      <c r="AR25" s="54"/>
      <c r="AS25" s="54">
        <f>SUM(AS10:AS24)</f>
        <v>8</v>
      </c>
      <c r="AT25" s="113"/>
      <c r="AU25" s="113">
        <f>SUM(AU10:AU24)</f>
        <v>7</v>
      </c>
      <c r="AV25" s="113">
        <f>SUM(AV10:AV24)</f>
        <v>3</v>
      </c>
      <c r="AW25" s="54"/>
      <c r="AX25" s="54"/>
      <c r="AY25" s="54"/>
      <c r="BA25" s="54"/>
      <c r="BB25" s="175">
        <f>AV25+AU25</f>
        <v>10</v>
      </c>
      <c r="BC25" s="54"/>
      <c r="BD25" s="54"/>
    </row>
    <row r="26" spans="3:56" ht="15">
      <c r="C26" s="134" t="str">
        <f>C9</f>
        <v>Start</v>
      </c>
      <c r="D26" s="253" t="s">
        <v>121</v>
      </c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Q26" s="12" t="s">
        <v>152</v>
      </c>
      <c r="S26" s="54"/>
      <c r="T26" s="54"/>
      <c r="U26" s="54"/>
      <c r="V26" s="54"/>
      <c r="W26" s="54"/>
      <c r="X26" s="54"/>
      <c r="Y26" s="54"/>
      <c r="Z26" s="54"/>
      <c r="AA26" s="175"/>
      <c r="AB26" s="175"/>
      <c r="AC26" s="175"/>
      <c r="AD26" s="134" t="str">
        <f>AD9</f>
        <v>Start</v>
      </c>
      <c r="AE26" s="253" t="s">
        <v>121</v>
      </c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R26" s="12" t="s">
        <v>152</v>
      </c>
      <c r="AT26" s="54"/>
      <c r="AU26" s="54"/>
      <c r="AV26" s="54"/>
      <c r="AW26" s="54"/>
      <c r="AX26" s="54"/>
      <c r="AY26" s="54"/>
      <c r="BA26" s="233"/>
      <c r="BB26" s="233"/>
      <c r="BC26" s="233"/>
      <c r="BD26" s="233"/>
    </row>
    <row r="27" spans="2:56" ht="14.25" customHeight="1">
      <c r="B27" s="54">
        <f>IF(T30&gt;U30,1,IF(C27="",2,1))</f>
        <v>1</v>
      </c>
      <c r="C27" s="214">
        <v>0.6763888888888889</v>
      </c>
      <c r="D27" s="257" t="str">
        <f>_xlfn.IFERROR(VLOOKUP(1,$O$3:$Z$8,12,FALSE),"")</f>
        <v>Jan Utikal</v>
      </c>
      <c r="E27" s="258"/>
      <c r="F27" s="258"/>
      <c r="G27" s="258"/>
      <c r="H27" s="258"/>
      <c r="I27" s="259"/>
      <c r="J27" s="257" t="str">
        <f>_xlfn.IFERROR(VLOOKUP(4,$O$3:$Z$8,12,FALSE),"")</f>
        <v>Thomas Metzler</v>
      </c>
      <c r="K27" s="258"/>
      <c r="L27" s="258"/>
      <c r="M27" s="258"/>
      <c r="N27" s="258"/>
      <c r="O27" s="259"/>
      <c r="P27" s="212">
        <v>2</v>
      </c>
      <c r="Q27" s="213" t="s">
        <v>26</v>
      </c>
      <c r="R27" s="212">
        <v>0</v>
      </c>
      <c r="S27" s="54"/>
      <c r="T27" s="54"/>
      <c r="U27" s="54"/>
      <c r="V27" s="54"/>
      <c r="W27" s="54"/>
      <c r="X27" s="54"/>
      <c r="Y27" s="54"/>
      <c r="Z27" s="54"/>
      <c r="AA27" s="215"/>
      <c r="AB27" s="215"/>
      <c r="AC27" s="54">
        <f>IF(AU30&gt;AV30,1,IF(AD27="",2,1))</f>
        <v>1</v>
      </c>
      <c r="AD27" s="214">
        <v>0.6263888888888889</v>
      </c>
      <c r="AE27" s="250" t="str">
        <f>_xlfn.IFERROR(VLOOKUP(1,$AP$3:$AW$8,8,FALSE),"")</f>
        <v>Tino Delling</v>
      </c>
      <c r="AF27" s="251"/>
      <c r="AG27" s="251"/>
      <c r="AH27" s="251"/>
      <c r="AI27" s="251"/>
      <c r="AJ27" s="252"/>
      <c r="AK27" s="250" t="str">
        <f>_xlfn.IFERROR(VLOOKUP(4,$AP$3:$AW$8,8,FALSE),"")</f>
        <v>Johannes Heyer</v>
      </c>
      <c r="AL27" s="251"/>
      <c r="AM27" s="251"/>
      <c r="AN27" s="251"/>
      <c r="AO27" s="251"/>
      <c r="AP27" s="252"/>
      <c r="AQ27" s="154">
        <v>2</v>
      </c>
      <c r="AR27" s="155" t="s">
        <v>26</v>
      </c>
      <c r="AS27" s="154">
        <v>0</v>
      </c>
      <c r="AT27" s="54"/>
      <c r="AU27" s="54"/>
      <c r="AV27" s="54"/>
      <c r="AW27" s="54"/>
      <c r="AX27" s="54"/>
      <c r="AY27" s="54"/>
      <c r="BA27" s="201"/>
      <c r="BB27" s="202"/>
      <c r="BC27" s="202"/>
      <c r="BD27" s="203"/>
    </row>
    <row r="28" spans="2:56" ht="14.25" customHeight="1">
      <c r="B28" s="54">
        <f>IF(T30&lt;U30,1,IF(C28="",2,1))</f>
        <v>1</v>
      </c>
      <c r="C28" s="214">
        <v>0.6763888888888889</v>
      </c>
      <c r="D28" s="257" t="str">
        <f>_xlfn.IFERROR(VLOOKUP(2,$O$3:$Z$8,12,FALSE),"")</f>
        <v>Sven Ohlenroth</v>
      </c>
      <c r="E28" s="258"/>
      <c r="F28" s="258"/>
      <c r="G28" s="258"/>
      <c r="H28" s="258"/>
      <c r="I28" s="259"/>
      <c r="J28" s="257" t="str">
        <f>_xlfn.IFERROR(VLOOKUP(3,$O$3:$Z$8,12,FALSE),"")</f>
        <v>Christian Jungk</v>
      </c>
      <c r="K28" s="258"/>
      <c r="L28" s="258"/>
      <c r="M28" s="258"/>
      <c r="N28" s="258"/>
      <c r="O28" s="259"/>
      <c r="P28" s="212">
        <v>0</v>
      </c>
      <c r="Q28" s="213" t="s">
        <v>26</v>
      </c>
      <c r="R28" s="212">
        <v>2</v>
      </c>
      <c r="S28" s="54"/>
      <c r="T28" s="54"/>
      <c r="U28" s="54"/>
      <c r="V28" s="54"/>
      <c r="W28" s="54"/>
      <c r="X28" s="54"/>
      <c r="Y28" s="54"/>
      <c r="Z28" s="54"/>
      <c r="AA28" s="215"/>
      <c r="AB28" s="215"/>
      <c r="AC28" s="54">
        <f>IF(AU30&gt;AV30,1,IF(AD28="",2,1))</f>
        <v>1</v>
      </c>
      <c r="AD28" s="214">
        <v>0.6583333333333333</v>
      </c>
      <c r="AE28" s="250" t="str">
        <f>_xlfn.IFERROR(VLOOKUP(2,$AP$3:$AW$8,8,FALSE),"")</f>
        <v>Marec Stachly</v>
      </c>
      <c r="AF28" s="251"/>
      <c r="AG28" s="251"/>
      <c r="AH28" s="251"/>
      <c r="AI28" s="251"/>
      <c r="AJ28" s="252"/>
      <c r="AK28" s="250" t="str">
        <f>_xlfn.IFERROR(VLOOKUP(3,$AP$3:$AW$8,8,FALSE),"")</f>
        <v>Michael Kandler</v>
      </c>
      <c r="AL28" s="251"/>
      <c r="AM28" s="251"/>
      <c r="AN28" s="251"/>
      <c r="AO28" s="251"/>
      <c r="AP28" s="252"/>
      <c r="AQ28" s="154">
        <v>2</v>
      </c>
      <c r="AR28" s="155" t="s">
        <v>26</v>
      </c>
      <c r="AS28" s="154">
        <v>0</v>
      </c>
      <c r="AT28" s="54"/>
      <c r="AU28" s="54"/>
      <c r="AV28" s="54"/>
      <c r="AW28" s="54"/>
      <c r="AX28" s="54"/>
      <c r="AY28" s="54"/>
      <c r="BA28" s="201"/>
      <c r="BB28" s="202"/>
      <c r="BC28" s="202"/>
      <c r="BD28" s="203"/>
    </row>
    <row r="29" spans="2:56" ht="14.25" customHeight="1">
      <c r="B29" s="215"/>
      <c r="C29" s="134" t="str">
        <f>C26</f>
        <v>Start</v>
      </c>
      <c r="D29" s="253" t="s">
        <v>72</v>
      </c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156"/>
      <c r="Q29" s="12" t="s">
        <v>152</v>
      </c>
      <c r="R29" s="156"/>
      <c r="S29" s="200"/>
      <c r="T29" s="200"/>
      <c r="U29" s="200"/>
      <c r="V29" s="200"/>
      <c r="W29" s="200"/>
      <c r="X29" s="200"/>
      <c r="Y29" s="200"/>
      <c r="Z29" s="200"/>
      <c r="AA29" s="215"/>
      <c r="AB29" s="215"/>
      <c r="AC29" s="215"/>
      <c r="AD29" s="134" t="str">
        <f>AD26</f>
        <v>Start</v>
      </c>
      <c r="AE29" s="253" t="s">
        <v>72</v>
      </c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156"/>
      <c r="AR29" s="12" t="s">
        <v>152</v>
      </c>
      <c r="AS29" s="156"/>
      <c r="AT29" s="200"/>
      <c r="AU29" s="200"/>
      <c r="AV29" s="200"/>
      <c r="AW29" s="54"/>
      <c r="AX29" s="54"/>
      <c r="AY29" s="54"/>
      <c r="BA29" s="201"/>
      <c r="BB29" s="202"/>
      <c r="BC29" s="202"/>
      <c r="BD29" s="203"/>
    </row>
    <row r="30" spans="2:56" ht="14.25" customHeight="1">
      <c r="B30" s="173">
        <f>IF(S30=1,1,2)</f>
        <v>2</v>
      </c>
      <c r="C30" s="180">
        <v>0.7284722222222223</v>
      </c>
      <c r="D30" s="250" t="str">
        <f>IF(C27="",D27,IF(P27=R27,"",IF(P27&lt;R27,J27,D27)))</f>
        <v>Jan Utikal</v>
      </c>
      <c r="E30" s="251"/>
      <c r="F30" s="251"/>
      <c r="G30" s="251"/>
      <c r="H30" s="251"/>
      <c r="I30" s="252"/>
      <c r="J30" s="250" t="str">
        <f>IF(C28="",D28,IF(P28=R28,"",IF(P28&lt;R28,J28,D28)))</f>
        <v>Christian Jungk</v>
      </c>
      <c r="K30" s="251"/>
      <c r="L30" s="251"/>
      <c r="M30" s="251"/>
      <c r="N30" s="251"/>
      <c r="O30" s="252"/>
      <c r="P30" s="154">
        <v>2</v>
      </c>
      <c r="Q30" s="155" t="s">
        <v>26</v>
      </c>
      <c r="R30" s="154">
        <v>1</v>
      </c>
      <c r="S30" s="209">
        <f>IF(T30&gt;U30,2,1)</f>
        <v>2</v>
      </c>
      <c r="T30" s="167">
        <v>0.8125</v>
      </c>
      <c r="U30" s="167">
        <f>AC1</f>
        <v>0.4141450231472845</v>
      </c>
      <c r="V30" s="54"/>
      <c r="W30" s="54"/>
      <c r="X30" s="54"/>
      <c r="Y30" s="54"/>
      <c r="Z30" s="54"/>
      <c r="AA30" s="215"/>
      <c r="AB30" s="215"/>
      <c r="AC30" s="173">
        <f>IF(AT30=1,1,2)</f>
        <v>2</v>
      </c>
      <c r="AD30" s="180">
        <v>0.7013888888888888</v>
      </c>
      <c r="AE30" s="250" t="str">
        <f>IF(AD27="",AE27,IF(AQ27=AS27,"",IF(AQ27&lt;AS27,AK27,AE27)))</f>
        <v>Tino Delling</v>
      </c>
      <c r="AF30" s="251"/>
      <c r="AG30" s="251"/>
      <c r="AH30" s="251"/>
      <c r="AI30" s="251"/>
      <c r="AJ30" s="252"/>
      <c r="AK30" s="250" t="str">
        <f>IF(AD28="",AE28,IF(AQ28=AS28,"",IF(AQ28&lt;AS28,AK28,AE28)))</f>
        <v>Marec Stachly</v>
      </c>
      <c r="AL30" s="251"/>
      <c r="AM30" s="251"/>
      <c r="AN30" s="251"/>
      <c r="AO30" s="251"/>
      <c r="AP30" s="252"/>
      <c r="AQ30" s="154">
        <v>0</v>
      </c>
      <c r="AR30" s="155" t="s">
        <v>26</v>
      </c>
      <c r="AS30" s="154">
        <v>2</v>
      </c>
      <c r="AT30" s="209">
        <f>IF(AU30&gt;AV30,2,1)</f>
        <v>2</v>
      </c>
      <c r="AU30" s="167">
        <v>0.8125</v>
      </c>
      <c r="AV30" s="167">
        <f>AC1</f>
        <v>0.4141450231472845</v>
      </c>
      <c r="AW30" s="54"/>
      <c r="AX30" s="54"/>
      <c r="AY30" s="54"/>
      <c r="BA30" s="201"/>
      <c r="BB30" s="202"/>
      <c r="BC30" s="202"/>
      <c r="BD30" s="203"/>
    </row>
    <row r="31" spans="4:56" ht="14.25" customHeight="1"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207"/>
      <c r="T31" s="207"/>
      <c r="U31" s="207"/>
      <c r="V31" s="207"/>
      <c r="W31" s="207"/>
      <c r="X31" s="207"/>
      <c r="Y31" s="207"/>
      <c r="Z31" s="207"/>
      <c r="AA31" s="207"/>
      <c r="AB31" s="136"/>
      <c r="AC31" s="136"/>
      <c r="AD31" s="174"/>
      <c r="AE31" s="253" t="s">
        <v>120</v>
      </c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T31" s="107"/>
      <c r="AU31" s="107"/>
      <c r="AV31" s="107"/>
      <c r="AW31" s="107"/>
      <c r="AX31" s="107"/>
      <c r="AY31" s="107"/>
      <c r="AZ31" s="107"/>
      <c r="BA31" s="140"/>
      <c r="BB31" s="217"/>
      <c r="BC31" s="217"/>
      <c r="BD31" s="218"/>
    </row>
    <row r="32" spans="19:56" ht="14.25" customHeight="1">
      <c r="S32" s="107"/>
      <c r="T32" s="107"/>
      <c r="U32" s="107"/>
      <c r="V32" s="107"/>
      <c r="W32" s="107"/>
      <c r="X32" s="107"/>
      <c r="Y32" s="107"/>
      <c r="Z32" s="107"/>
      <c r="AA32" s="208"/>
      <c r="AC32" s="173">
        <f>IF(BA2="X","Platz 3","")</f>
      </c>
      <c r="AD32" s="210"/>
      <c r="AE32" s="250">
        <f>_xlfn.IFERROR(IF(AC30=2,AT27,VLOOKUP(3,$AP$3:$AW$8,8,FALSE)),"")</f>
        <v>0</v>
      </c>
      <c r="AF32" s="251"/>
      <c r="AG32" s="251"/>
      <c r="AH32" s="251"/>
      <c r="AI32" s="251"/>
      <c r="AJ32" s="252"/>
      <c r="AK32" s="250">
        <f>_xlfn.IFERROR(IF(AC30=2,AT28,VLOOKUP(4,$AP$3:$AW$8,8,FALSE)),"")</f>
        <v>0</v>
      </c>
      <c r="AL32" s="251"/>
      <c r="AM32" s="251"/>
      <c r="AN32" s="251"/>
      <c r="AO32" s="251"/>
      <c r="AP32" s="252"/>
      <c r="AQ32" s="154">
        <v>0</v>
      </c>
      <c r="AR32" s="155" t="s">
        <v>26</v>
      </c>
      <c r="AS32" s="154">
        <v>0</v>
      </c>
      <c r="AT32" s="107"/>
      <c r="AU32" s="107"/>
      <c r="AV32" s="107"/>
      <c r="AW32" s="107"/>
      <c r="AX32" s="107"/>
      <c r="AY32" s="107"/>
      <c r="AZ32" s="107"/>
      <c r="BA32" s="140"/>
      <c r="BB32" s="217"/>
      <c r="BC32" s="217"/>
      <c r="BD32" s="218"/>
    </row>
    <row r="33" spans="20:56" ht="14.25" customHeight="1">
      <c r="T33" s="107"/>
      <c r="U33" s="107"/>
      <c r="V33" s="107"/>
      <c r="W33" s="107"/>
      <c r="X33" s="107"/>
      <c r="Y33" s="107"/>
      <c r="Z33" s="107"/>
      <c r="AA33" s="208"/>
      <c r="AT33" s="107"/>
      <c r="AU33" s="107"/>
      <c r="AV33" s="107"/>
      <c r="AW33" s="107"/>
      <c r="AX33" s="107"/>
      <c r="AY33" s="107"/>
      <c r="AZ33" s="107"/>
      <c r="BA33" s="140"/>
      <c r="BB33" s="217"/>
      <c r="BC33" s="217"/>
      <c r="BD33" s="218"/>
    </row>
    <row r="34" spans="20:56" ht="14.25" customHeight="1">
      <c r="T34" s="107"/>
      <c r="U34" s="107"/>
      <c r="V34" s="107"/>
      <c r="W34" s="107"/>
      <c r="X34" s="107"/>
      <c r="Y34" s="107"/>
      <c r="Z34" s="107"/>
      <c r="AA34" s="208"/>
      <c r="BA34" s="140"/>
      <c r="BB34" s="141"/>
      <c r="BC34" s="141"/>
      <c r="BD34" s="142"/>
    </row>
    <row r="35" spans="20:56" ht="14.25" customHeight="1">
      <c r="T35" s="107"/>
      <c r="U35" s="107"/>
      <c r="V35" s="107"/>
      <c r="W35" s="107"/>
      <c r="X35" s="107"/>
      <c r="Y35" s="107"/>
      <c r="Z35" s="107"/>
      <c r="AA35" s="107"/>
      <c r="AB35"/>
      <c r="BA35" s="140"/>
      <c r="BB35" s="141"/>
      <c r="BC35" s="141"/>
      <c r="BD35" s="142"/>
    </row>
    <row r="36" spans="4:56" ht="14.25" customHeight="1"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BA36" s="140"/>
      <c r="BB36" s="141"/>
      <c r="BC36" s="141"/>
      <c r="BD36" s="142"/>
    </row>
    <row r="37" spans="4:56" ht="14.25" customHeight="1"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137"/>
      <c r="Q37" s="137"/>
      <c r="R37" s="137"/>
      <c r="S37" s="136"/>
      <c r="T37" s="136"/>
      <c r="U37" s="136"/>
      <c r="V37" s="136"/>
      <c r="W37" s="136"/>
      <c r="X37" s="136"/>
      <c r="Y37" s="136"/>
      <c r="Z37" s="136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BA37" s="140"/>
      <c r="BB37" s="141"/>
      <c r="BC37" s="141"/>
      <c r="BD37" s="142"/>
    </row>
    <row r="38" spans="4:56" ht="14.25" customHeight="1"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BA38" s="140"/>
      <c r="BB38" s="141"/>
      <c r="BC38" s="141"/>
      <c r="BD38" s="142"/>
    </row>
    <row r="39" spans="4:56" ht="14.25" customHeight="1"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BA39" s="140"/>
      <c r="BB39" s="141"/>
      <c r="BC39" s="141"/>
      <c r="BD39" s="142"/>
    </row>
    <row r="40" spans="53:56" ht="14.25" customHeight="1">
      <c r="BA40" s="140"/>
      <c r="BB40" s="274"/>
      <c r="BC40" s="274"/>
      <c r="BD40" s="142"/>
    </row>
    <row r="41" spans="16:56" ht="12.75">
      <c r="P41" s="54">
        <f>SUM(P29:P39)</f>
        <v>2</v>
      </c>
      <c r="Q41" s="54"/>
      <c r="R41" s="54">
        <f>SUM(R29:R39)</f>
        <v>1</v>
      </c>
      <c r="BA41" s="55"/>
      <c r="BB41" s="55"/>
      <c r="BC41" s="55"/>
      <c r="BD41" s="55"/>
    </row>
    <row r="42" spans="53:56" ht="12.75">
      <c r="BA42" s="143"/>
      <c r="BB42" s="55"/>
      <c r="BC42" s="55"/>
      <c r="BD42" s="55"/>
    </row>
    <row r="43" spans="53:56" ht="12.75">
      <c r="BA43" s="55"/>
      <c r="BB43" s="55"/>
      <c r="BC43" s="55"/>
      <c r="BD43" s="55"/>
    </row>
    <row r="44" spans="53:56" ht="12.75">
      <c r="BA44" s="55"/>
      <c r="BB44" s="55"/>
      <c r="BC44" s="55"/>
      <c r="BD44" s="55"/>
    </row>
    <row r="45" spans="53:56" ht="12.75">
      <c r="BA45" s="55"/>
      <c r="BB45" s="55"/>
      <c r="BC45" s="55"/>
      <c r="BD45" s="55"/>
    </row>
    <row r="46" spans="53:56" ht="12.75">
      <c r="BA46" s="55"/>
      <c r="BB46" s="55"/>
      <c r="BC46" s="55"/>
      <c r="BD46" s="55"/>
    </row>
    <row r="47" spans="53:56" ht="12.75">
      <c r="BA47" s="55"/>
      <c r="BB47" s="55"/>
      <c r="BC47" s="55"/>
      <c r="BD47" s="55"/>
    </row>
    <row r="48" spans="53:56" ht="12.75">
      <c r="BA48" s="55"/>
      <c r="BB48" s="55"/>
      <c r="BC48" s="55"/>
      <c r="BD48" s="55"/>
    </row>
    <row r="49" spans="53:56" ht="12.75">
      <c r="BA49" s="55"/>
      <c r="BB49" s="55"/>
      <c r="BC49" s="55"/>
      <c r="BD49" s="55"/>
    </row>
    <row r="50" spans="53:56" ht="12.75">
      <c r="BA50" s="55"/>
      <c r="BB50" s="55"/>
      <c r="BC50" s="55"/>
      <c r="BD50" s="55"/>
    </row>
    <row r="51" spans="53:56" ht="12.75">
      <c r="BA51" s="55"/>
      <c r="BB51" s="55"/>
      <c r="BC51" s="55"/>
      <c r="BD51" s="55"/>
    </row>
    <row r="52" spans="4:56" ht="13.5" customHeight="1" hidden="1">
      <c r="D52" t="s">
        <v>24</v>
      </c>
      <c r="E52" t="s">
        <v>75</v>
      </c>
      <c r="F52" t="s">
        <v>76</v>
      </c>
      <c r="G52" t="s">
        <v>76</v>
      </c>
      <c r="H52" t="s">
        <v>77</v>
      </c>
      <c r="I52" t="s">
        <v>77</v>
      </c>
      <c r="J52" t="s">
        <v>78</v>
      </c>
      <c r="K52" t="s">
        <v>78</v>
      </c>
      <c r="L52" t="s">
        <v>79</v>
      </c>
      <c r="M52" t="s">
        <v>79</v>
      </c>
      <c r="N52" t="s">
        <v>80</v>
      </c>
      <c r="O52" t="s">
        <v>80</v>
      </c>
      <c r="P52" s="45" t="s">
        <v>83</v>
      </c>
      <c r="R52" t="s">
        <v>81</v>
      </c>
      <c r="AC52" s="45" t="s">
        <v>77</v>
      </c>
      <c r="AD52" s="45"/>
      <c r="AE52" s="45" t="s">
        <v>78</v>
      </c>
      <c r="AF52">
        <v>4</v>
      </c>
      <c r="AG52">
        <v>3</v>
      </c>
      <c r="AH52">
        <v>2</v>
      </c>
      <c r="AI52">
        <v>1</v>
      </c>
      <c r="AS52" t="s">
        <v>82</v>
      </c>
      <c r="BA52" s="55"/>
      <c r="BB52" s="55"/>
      <c r="BC52" s="55"/>
      <c r="BD52" s="55"/>
    </row>
    <row r="53" spans="4:56" ht="13.5" customHeight="1" hidden="1">
      <c r="D53" t="str">
        <f aca="true" t="shared" si="18" ref="D53:D58">D3</f>
        <v>Christian Jungk</v>
      </c>
      <c r="E53">
        <f aca="true" t="shared" si="19" ref="E53:E58">M3</f>
        <v>5</v>
      </c>
      <c r="F53">
        <f>_xlfn.IFERROR(VLOOKUP(D53,#REF!,10,FALSE),0)</f>
        <v>0</v>
      </c>
      <c r="G53">
        <f>_xlfn.IFERROR(VLOOKUP(D53,#REF!,10,FALSE),0)</f>
        <v>0</v>
      </c>
      <c r="H53">
        <f aca="true" t="shared" si="20" ref="H53:H66">_xlfn.IFERROR(VLOOKUP(D53,$D$29:$P$30,13,FALSE),0)</f>
        <v>0</v>
      </c>
      <c r="I53">
        <f>_xlfn.IFERROR(VLOOKUP(D53,#REF!,9,FALSE),0)</f>
        <v>0</v>
      </c>
      <c r="J53">
        <f aca="true" t="shared" si="21" ref="J53:J66">_xlfn.IFERROR(VLOOKUP(D53,$D$27:$P$28,13,FALSE),0)</f>
        <v>0</v>
      </c>
      <c r="K53">
        <f aca="true" t="shared" si="22" ref="K53:K66">_xlfn.IFERROR(VLOOKUP(D53,$J$27:$R$28,9,FALSE),0)</f>
        <v>2</v>
      </c>
      <c r="L53">
        <f>_xlfn.IFERROR(VLOOKUP(D53,$D$37:$P$37,13,FALSE),0)</f>
        <v>0</v>
      </c>
      <c r="M53">
        <f>_xlfn.IFERROR(VLOOKUP(D53,$J$37:$R$37,9,FALSE),0)</f>
        <v>0</v>
      </c>
      <c r="N53">
        <f aca="true" t="shared" si="23" ref="N53:N66">_xlfn.IFERROR(VLOOKUP(D53,$D$30:$P$30,13,FALSE),0)</f>
        <v>0</v>
      </c>
      <c r="O53">
        <f aca="true" t="shared" si="24" ref="O53:O66">_xlfn.IFERROR(VLOOKUP(D53,$J$30:$R$30,9,FALSE),0)</f>
        <v>1</v>
      </c>
      <c r="Q53" s="45">
        <f>IF(D53=0,0,0.00002)</f>
        <v>2E-05</v>
      </c>
      <c r="R53">
        <f>SUM(E53:O53)*5+Q53+AJ53</f>
        <v>160.00002</v>
      </c>
      <c r="S53" t="str">
        <f>D53</f>
        <v>Christian Jungk</v>
      </c>
      <c r="T53" s="10" t="e">
        <f>IF(D53=0,"",RANK(R53,$R$53:$R$66))</f>
        <v>#REF!</v>
      </c>
      <c r="U53" s="10">
        <f>R53</f>
        <v>160.00002</v>
      </c>
      <c r="AA53" s="117"/>
      <c r="AF53">
        <f>IF(AND($D53=$D$37,$P$37&lt;$R$37),80,IF(AND($D53=$J$37,$R$37&lt;$P$37),80,0))</f>
        <v>0</v>
      </c>
      <c r="AG53">
        <f>IF(AND($D53=$D$37,$P$37&gt;$R$37),100,IF(AND($D53=$J$37,$R$37&gt;$P$37),100,0))</f>
        <v>0</v>
      </c>
      <c r="AH53">
        <f aca="true" t="shared" si="25" ref="AH53:AH66">IF(AND($D53=$D$30,$P$30&lt;$R$30),120,IF(AND($D53=$J$30,$R$30&lt;$P$30),120,0))</f>
        <v>120</v>
      </c>
      <c r="AI53">
        <f aca="true" t="shared" si="26" ref="AI53:AI66">IF(AND($D53=$D$30,$P$30&gt;$R$30),150,IF(AND($D53=$J$30,$R$30&gt;$P$30),150,0))</f>
        <v>0</v>
      </c>
      <c r="AJ53">
        <f>SUM(AF53:AI53)</f>
        <v>120</v>
      </c>
      <c r="AQ53" s="10"/>
      <c r="AS53" s="10" t="e">
        <f>VLOOKUP(1,$T$53:$U$66,2,FALSE)</f>
        <v>#N/A</v>
      </c>
      <c r="AT53" s="10" t="e">
        <f>VLOOKUP(AS53,$R$53:$S$66,2,FALSE)</f>
        <v>#N/A</v>
      </c>
      <c r="AU53" s="10" t="e">
        <f>AS53+AQ53</f>
        <v>#N/A</v>
      </c>
      <c r="AV53" t="e">
        <f>AT53</f>
        <v>#N/A</v>
      </c>
      <c r="BA53" s="55"/>
      <c r="BB53" s="129"/>
      <c r="BC53" s="55"/>
      <c r="BD53" s="55"/>
    </row>
    <row r="54" spans="4:56" ht="13.5" customHeight="1" hidden="1">
      <c r="D54" t="str">
        <f t="shared" si="18"/>
        <v>Jan Utikal</v>
      </c>
      <c r="E54">
        <f t="shared" si="19"/>
        <v>8</v>
      </c>
      <c r="F54">
        <f>_xlfn.IFERROR(VLOOKUP(D54,#REF!,10,FALSE),0)</f>
        <v>0</v>
      </c>
      <c r="G54">
        <f>_xlfn.IFERROR(VLOOKUP(D54,#REF!,10,FALSE),0)</f>
        <v>0</v>
      </c>
      <c r="H54">
        <f t="shared" si="20"/>
        <v>2</v>
      </c>
      <c r="I54">
        <f>_xlfn.IFERROR(VLOOKUP(D54,#REF!,9,FALSE),0)</f>
        <v>0</v>
      </c>
      <c r="J54">
        <f t="shared" si="21"/>
        <v>2</v>
      </c>
      <c r="K54">
        <f t="shared" si="22"/>
        <v>0</v>
      </c>
      <c r="L54">
        <f aca="true" t="shared" si="27" ref="L54:L66">_xlfn.IFERROR(VLOOKUP(D54,$D$37:$P$37,13,FALSE),0)</f>
        <v>0</v>
      </c>
      <c r="M54">
        <f aca="true" t="shared" si="28" ref="M54:M66">_xlfn.IFERROR(VLOOKUP(D54,$J$37:$R$37,9,FALSE),0)</f>
        <v>0</v>
      </c>
      <c r="N54">
        <f t="shared" si="23"/>
        <v>2</v>
      </c>
      <c r="O54">
        <f t="shared" si="24"/>
        <v>0</v>
      </c>
      <c r="Q54" s="45">
        <f>IF(D54=0,0,0.00003)</f>
        <v>3E-05</v>
      </c>
      <c r="R54">
        <f aca="true" t="shared" si="29" ref="R54:R66">SUM(E54:O54)*5+Q54+AJ54</f>
        <v>220.00002999999998</v>
      </c>
      <c r="S54" t="str">
        <f aca="true" t="shared" si="30" ref="S54:S66">D54</f>
        <v>Jan Utikal</v>
      </c>
      <c r="T54" s="10" t="e">
        <f aca="true" t="shared" si="31" ref="T54:T66">IF(D54=0,"",RANK(R54,$R$53:$R$66))</f>
        <v>#REF!</v>
      </c>
      <c r="U54" s="10">
        <f aca="true" t="shared" si="32" ref="U54:U66">R54</f>
        <v>220.00002999999998</v>
      </c>
      <c r="AA54" s="117"/>
      <c r="AF54">
        <f aca="true" t="shared" si="33" ref="AF54:AF66">IF(AND($D54=$D$37,$P$37&lt;$R$37),80,IF(AND($D54=$J$37,$R$37&lt;$P$37),80,0))</f>
        <v>0</v>
      </c>
      <c r="AG54">
        <f aca="true" t="shared" si="34" ref="AG54:AG66">IF(AND($D54=$D$37,$P$37&gt;$R$37),100,IF(AND($D54=$J$37,$R$37&gt;$P$37),100,0))</f>
        <v>0</v>
      </c>
      <c r="AH54">
        <f t="shared" si="25"/>
        <v>0</v>
      </c>
      <c r="AI54">
        <f t="shared" si="26"/>
        <v>150</v>
      </c>
      <c r="AJ54">
        <f aca="true" t="shared" si="35" ref="AJ54:AJ66">SUM(AF54:AI54)</f>
        <v>150</v>
      </c>
      <c r="AQ54" s="10"/>
      <c r="AS54" s="10" t="e">
        <f>VLOOKUP(2,$T$53:$U$66,2,FALSE)</f>
        <v>#N/A</v>
      </c>
      <c r="AT54" t="e">
        <f aca="true" t="shared" si="36" ref="AT54:AT66">VLOOKUP(AS54,$R$53:$S$66,2,FALSE)</f>
        <v>#N/A</v>
      </c>
      <c r="AU54" s="10" t="e">
        <f aca="true" t="shared" si="37" ref="AU54:AU66">AS54+AQ54</f>
        <v>#N/A</v>
      </c>
      <c r="AV54" t="e">
        <f aca="true" t="shared" si="38" ref="AV54:AV66">AT54</f>
        <v>#N/A</v>
      </c>
      <c r="BA54" s="55"/>
      <c r="BB54" s="55"/>
      <c r="BC54" s="55"/>
      <c r="BD54" s="55"/>
    </row>
    <row r="55" spans="4:56" ht="13.5" customHeight="1" hidden="1">
      <c r="D55" t="str">
        <f t="shared" si="18"/>
        <v>Paul Arthur Jeroch</v>
      </c>
      <c r="E55">
        <f t="shared" si="19"/>
        <v>0</v>
      </c>
      <c r="F55">
        <f>_xlfn.IFERROR(VLOOKUP(D55,#REF!,10,FALSE),0)</f>
        <v>0</v>
      </c>
      <c r="G55">
        <f>_xlfn.IFERROR(VLOOKUP(D55,#REF!,10,FALSE),0)</f>
        <v>0</v>
      </c>
      <c r="H55">
        <f t="shared" si="20"/>
        <v>0</v>
      </c>
      <c r="I55">
        <f>_xlfn.IFERROR(VLOOKUP(D55,#REF!,9,FALSE),0)</f>
        <v>0</v>
      </c>
      <c r="J55">
        <f t="shared" si="21"/>
        <v>0</v>
      </c>
      <c r="K55">
        <f t="shared" si="22"/>
        <v>0</v>
      </c>
      <c r="L55">
        <f t="shared" si="27"/>
        <v>0</v>
      </c>
      <c r="M55">
        <f t="shared" si="28"/>
        <v>0</v>
      </c>
      <c r="N55">
        <f t="shared" si="23"/>
        <v>0</v>
      </c>
      <c r="O55">
        <f t="shared" si="24"/>
        <v>0</v>
      </c>
      <c r="Q55" s="45">
        <f>IF(D55=0,0,0.00004)</f>
        <v>4E-05</v>
      </c>
      <c r="R55">
        <f t="shared" si="29"/>
        <v>4E-05</v>
      </c>
      <c r="S55" t="str">
        <f t="shared" si="30"/>
        <v>Paul Arthur Jeroch</v>
      </c>
      <c r="T55" s="10" t="e">
        <f t="shared" si="31"/>
        <v>#REF!</v>
      </c>
      <c r="U55" s="10">
        <f t="shared" si="32"/>
        <v>4E-05</v>
      </c>
      <c r="AA55" s="117"/>
      <c r="AF55">
        <f t="shared" si="33"/>
        <v>0</v>
      </c>
      <c r="AG55">
        <f t="shared" si="34"/>
        <v>0</v>
      </c>
      <c r="AH55">
        <f t="shared" si="25"/>
        <v>0</v>
      </c>
      <c r="AI55">
        <f t="shared" si="26"/>
        <v>0</v>
      </c>
      <c r="AJ55">
        <f t="shared" si="35"/>
        <v>0</v>
      </c>
      <c r="AQ55" s="10"/>
      <c r="AS55" s="10" t="e">
        <f>VLOOKUP(3,$T$53:$U$66,2,FALSE)</f>
        <v>#N/A</v>
      </c>
      <c r="AT55" t="e">
        <f t="shared" si="36"/>
        <v>#N/A</v>
      </c>
      <c r="AU55" s="10" t="e">
        <f t="shared" si="37"/>
        <v>#N/A</v>
      </c>
      <c r="AV55" t="e">
        <f t="shared" si="38"/>
        <v>#N/A</v>
      </c>
      <c r="BA55" s="55"/>
      <c r="BB55" s="55"/>
      <c r="BC55" s="55"/>
      <c r="BD55" s="55"/>
    </row>
    <row r="56" spans="4:56" ht="13.5" customHeight="1" hidden="1">
      <c r="D56" t="str">
        <f t="shared" si="18"/>
        <v>Thomas Metzler</v>
      </c>
      <c r="E56">
        <f t="shared" si="19"/>
        <v>4</v>
      </c>
      <c r="F56">
        <f>_xlfn.IFERROR(VLOOKUP(D56,#REF!,10,FALSE),0)</f>
        <v>0</v>
      </c>
      <c r="G56">
        <f>_xlfn.IFERROR(VLOOKUP(D56,#REF!,10,FALSE),0)</f>
        <v>0</v>
      </c>
      <c r="H56">
        <f t="shared" si="20"/>
        <v>0</v>
      </c>
      <c r="I56">
        <f>_xlfn.IFERROR(VLOOKUP(D56,#REF!,9,FALSE),0)</f>
        <v>0</v>
      </c>
      <c r="J56">
        <f t="shared" si="21"/>
        <v>0</v>
      </c>
      <c r="K56">
        <f t="shared" si="22"/>
        <v>0</v>
      </c>
      <c r="L56">
        <f t="shared" si="27"/>
        <v>0</v>
      </c>
      <c r="M56">
        <f t="shared" si="28"/>
        <v>0</v>
      </c>
      <c r="N56">
        <f t="shared" si="23"/>
        <v>0</v>
      </c>
      <c r="O56">
        <f t="shared" si="24"/>
        <v>0</v>
      </c>
      <c r="Q56" s="45">
        <f>IF(D56=0,0,0.00005)</f>
        <v>5E-05</v>
      </c>
      <c r="R56">
        <f t="shared" si="29"/>
        <v>20.00005</v>
      </c>
      <c r="S56" t="str">
        <f t="shared" si="30"/>
        <v>Thomas Metzler</v>
      </c>
      <c r="T56" s="10" t="e">
        <f t="shared" si="31"/>
        <v>#REF!</v>
      </c>
      <c r="U56" s="10">
        <f t="shared" si="32"/>
        <v>20.00005</v>
      </c>
      <c r="AA56" s="117"/>
      <c r="AF56">
        <f t="shared" si="33"/>
        <v>0</v>
      </c>
      <c r="AG56">
        <f t="shared" si="34"/>
        <v>0</v>
      </c>
      <c r="AH56">
        <f t="shared" si="25"/>
        <v>0</v>
      </c>
      <c r="AI56">
        <f t="shared" si="26"/>
        <v>0</v>
      </c>
      <c r="AJ56">
        <f t="shared" si="35"/>
        <v>0</v>
      </c>
      <c r="AQ56" s="10"/>
      <c r="AS56" s="10" t="e">
        <f>VLOOKUP(4,$T$53:$U$66,2,FALSE)</f>
        <v>#N/A</v>
      </c>
      <c r="AT56" t="e">
        <f t="shared" si="36"/>
        <v>#N/A</v>
      </c>
      <c r="AU56" s="10" t="e">
        <f t="shared" si="37"/>
        <v>#N/A</v>
      </c>
      <c r="AV56" t="e">
        <f t="shared" si="38"/>
        <v>#N/A</v>
      </c>
      <c r="BA56" s="55"/>
      <c r="BB56" s="55"/>
      <c r="BC56" s="55"/>
      <c r="BD56" s="55"/>
    </row>
    <row r="57" spans="4:56" ht="13.5" customHeight="1" hidden="1">
      <c r="D57" t="str">
        <f t="shared" si="18"/>
        <v>Sven Ohlenroth</v>
      </c>
      <c r="E57">
        <f t="shared" si="19"/>
        <v>5</v>
      </c>
      <c r="F57">
        <f>_xlfn.IFERROR(VLOOKUP(D57,#REF!,10,FALSE),0)</f>
        <v>0</v>
      </c>
      <c r="G57">
        <f>_xlfn.IFERROR(VLOOKUP(D57,#REF!,10,FALSE),0)</f>
        <v>0</v>
      </c>
      <c r="H57">
        <f t="shared" si="20"/>
        <v>0</v>
      </c>
      <c r="I57">
        <f>_xlfn.IFERROR(VLOOKUP(D57,#REF!,9,FALSE),0)</f>
        <v>0</v>
      </c>
      <c r="J57">
        <f t="shared" si="21"/>
        <v>0</v>
      </c>
      <c r="K57">
        <f t="shared" si="22"/>
        <v>0</v>
      </c>
      <c r="L57">
        <f t="shared" si="27"/>
        <v>0</v>
      </c>
      <c r="M57">
        <f t="shared" si="28"/>
        <v>0</v>
      </c>
      <c r="N57">
        <f t="shared" si="23"/>
        <v>0</v>
      </c>
      <c r="O57">
        <f t="shared" si="24"/>
        <v>0</v>
      </c>
      <c r="Q57" s="45">
        <f>IF(D57=0,0,0.00006)</f>
        <v>6E-05</v>
      </c>
      <c r="R57">
        <f t="shared" si="29"/>
        <v>25.00006</v>
      </c>
      <c r="S57" t="str">
        <f t="shared" si="30"/>
        <v>Sven Ohlenroth</v>
      </c>
      <c r="T57" s="10" t="e">
        <f t="shared" si="31"/>
        <v>#REF!</v>
      </c>
      <c r="U57" s="10">
        <f t="shared" si="32"/>
        <v>25.00006</v>
      </c>
      <c r="AA57" s="117"/>
      <c r="AF57">
        <f t="shared" si="33"/>
        <v>0</v>
      </c>
      <c r="AG57">
        <f t="shared" si="34"/>
        <v>0</v>
      </c>
      <c r="AH57">
        <f t="shared" si="25"/>
        <v>0</v>
      </c>
      <c r="AI57">
        <f t="shared" si="26"/>
        <v>0</v>
      </c>
      <c r="AJ57">
        <f t="shared" si="35"/>
        <v>0</v>
      </c>
      <c r="AQ57" s="10">
        <v>50</v>
      </c>
      <c r="AS57" s="10" t="e">
        <f>VLOOKUP(5,$T$53:$U$66,2,FALSE)</f>
        <v>#N/A</v>
      </c>
      <c r="AT57" t="e">
        <f t="shared" si="36"/>
        <v>#N/A</v>
      </c>
      <c r="AU57" s="10" t="e">
        <f t="shared" si="37"/>
        <v>#N/A</v>
      </c>
      <c r="AV57" t="e">
        <f t="shared" si="38"/>
        <v>#N/A</v>
      </c>
      <c r="BA57" s="55"/>
      <c r="BB57" s="55"/>
      <c r="BC57" s="55"/>
      <c r="BD57" s="55"/>
    </row>
    <row r="58" spans="4:56" ht="13.5" customHeight="1" hidden="1">
      <c r="D58">
        <f t="shared" si="18"/>
      </c>
      <c r="E58">
        <f t="shared" si="19"/>
        <v>0</v>
      </c>
      <c r="F58">
        <f>_xlfn.IFERROR(VLOOKUP(D58,#REF!,10,FALSE),0)</f>
        <v>0</v>
      </c>
      <c r="G58">
        <f>_xlfn.IFERROR(VLOOKUP(D58,#REF!,10,FALSE),0)</f>
        <v>0</v>
      </c>
      <c r="H58">
        <f t="shared" si="20"/>
        <v>0</v>
      </c>
      <c r="I58">
        <f>_xlfn.IFERROR(VLOOKUP(D58,#REF!,9,FALSE),0)</f>
        <v>0</v>
      </c>
      <c r="J58">
        <f t="shared" si="21"/>
        <v>0</v>
      </c>
      <c r="K58">
        <f t="shared" si="22"/>
        <v>0</v>
      </c>
      <c r="L58">
        <f t="shared" si="27"/>
        <v>0</v>
      </c>
      <c r="M58">
        <f t="shared" si="28"/>
        <v>0</v>
      </c>
      <c r="N58">
        <f t="shared" si="23"/>
        <v>0</v>
      </c>
      <c r="O58">
        <f t="shared" si="24"/>
        <v>0</v>
      </c>
      <c r="Q58" s="45">
        <f>IF(D58=0,0,0.00007)</f>
        <v>7E-05</v>
      </c>
      <c r="R58">
        <f t="shared" si="29"/>
        <v>7E-05</v>
      </c>
      <c r="S58">
        <f t="shared" si="30"/>
      </c>
      <c r="T58" s="10" t="e">
        <f t="shared" si="31"/>
        <v>#REF!</v>
      </c>
      <c r="U58" s="10">
        <f t="shared" si="32"/>
        <v>7E-05</v>
      </c>
      <c r="AA58" s="117"/>
      <c r="AF58">
        <f t="shared" si="33"/>
        <v>0</v>
      </c>
      <c r="AG58">
        <f t="shared" si="34"/>
        <v>0</v>
      </c>
      <c r="AH58">
        <f t="shared" si="25"/>
        <v>0</v>
      </c>
      <c r="AI58">
        <f t="shared" si="26"/>
        <v>0</v>
      </c>
      <c r="AJ58">
        <f t="shared" si="35"/>
        <v>0</v>
      </c>
      <c r="AQ58" s="10">
        <v>50</v>
      </c>
      <c r="AS58" s="10" t="e">
        <f>VLOOKUP(6,$T$53:$U$66,2,FALSE)</f>
        <v>#N/A</v>
      </c>
      <c r="AT58" t="e">
        <f t="shared" si="36"/>
        <v>#N/A</v>
      </c>
      <c r="AU58" s="10" t="e">
        <f t="shared" si="37"/>
        <v>#N/A</v>
      </c>
      <c r="AV58" t="e">
        <f t="shared" si="38"/>
        <v>#N/A</v>
      </c>
      <c r="BA58" s="55"/>
      <c r="BB58" s="55"/>
      <c r="BC58" s="55"/>
      <c r="BD58" s="55"/>
    </row>
    <row r="59" spans="4:56" ht="13.5" customHeight="1" hidden="1">
      <c r="D59" s="115" t="e">
        <f>#REF!</f>
        <v>#REF!</v>
      </c>
      <c r="E59" s="115" t="e">
        <f>#REF!</f>
        <v>#REF!</v>
      </c>
      <c r="F59" s="115">
        <f>_xlfn.IFERROR(VLOOKUP(D59,#REF!,10,FALSE),0)</f>
        <v>0</v>
      </c>
      <c r="G59" s="115">
        <f>_xlfn.IFERROR(VLOOKUP(D59,#REF!,10,FALSE),0)</f>
        <v>0</v>
      </c>
      <c r="H59" s="115">
        <f t="shared" si="20"/>
        <v>0</v>
      </c>
      <c r="I59" s="115">
        <f>_xlfn.IFERROR(VLOOKUP(D59,#REF!,9,FALSE),0)</f>
        <v>0</v>
      </c>
      <c r="J59" s="115">
        <f t="shared" si="21"/>
        <v>0</v>
      </c>
      <c r="K59" s="115">
        <f t="shared" si="22"/>
        <v>0</v>
      </c>
      <c r="L59" s="115">
        <f t="shared" si="27"/>
        <v>0</v>
      </c>
      <c r="M59" s="115">
        <f t="shared" si="28"/>
        <v>0</v>
      </c>
      <c r="N59">
        <f t="shared" si="23"/>
        <v>0</v>
      </c>
      <c r="O59">
        <f t="shared" si="24"/>
        <v>0</v>
      </c>
      <c r="Q59" s="45" t="e">
        <f>IF(D59=0,0,0.00008)</f>
        <v>#REF!</v>
      </c>
      <c r="R59" t="e">
        <f t="shared" si="29"/>
        <v>#REF!</v>
      </c>
      <c r="S59" t="e">
        <f t="shared" si="30"/>
        <v>#REF!</v>
      </c>
      <c r="T59" s="10" t="e">
        <f t="shared" si="31"/>
        <v>#REF!</v>
      </c>
      <c r="U59" s="10" t="e">
        <f t="shared" si="32"/>
        <v>#REF!</v>
      </c>
      <c r="AA59" s="117"/>
      <c r="AF59" t="e">
        <f t="shared" si="33"/>
        <v>#REF!</v>
      </c>
      <c r="AG59" t="e">
        <f t="shared" si="34"/>
        <v>#REF!</v>
      </c>
      <c r="AH59" t="e">
        <f t="shared" si="25"/>
        <v>#REF!</v>
      </c>
      <c r="AI59" t="e">
        <f t="shared" si="26"/>
        <v>#REF!</v>
      </c>
      <c r="AJ59" t="e">
        <f t="shared" si="35"/>
        <v>#REF!</v>
      </c>
      <c r="AQ59" s="10">
        <v>50</v>
      </c>
      <c r="AS59" s="10" t="e">
        <f>VLOOKUP(7,$T$53:$U$66,2,FALSE)</f>
        <v>#N/A</v>
      </c>
      <c r="AT59" t="e">
        <f t="shared" si="36"/>
        <v>#N/A</v>
      </c>
      <c r="AU59" s="10" t="e">
        <f t="shared" si="37"/>
        <v>#N/A</v>
      </c>
      <c r="AV59" t="e">
        <f t="shared" si="38"/>
        <v>#N/A</v>
      </c>
      <c r="BA59" s="55"/>
      <c r="BB59" s="55"/>
      <c r="BC59" s="55"/>
      <c r="BD59" s="55"/>
    </row>
    <row r="60" spans="4:56" ht="12.75" hidden="1">
      <c r="D60" t="str">
        <f aca="true" t="shared" si="39" ref="D60:D65">AE3</f>
        <v>Marec Stachly</v>
      </c>
      <c r="E60">
        <f aca="true" t="shared" si="40" ref="E60:E65">AN3</f>
        <v>6</v>
      </c>
      <c r="F60">
        <f>_xlfn.IFERROR(VLOOKUP(D60,#REF!,10,FALSE),0)</f>
        <v>0</v>
      </c>
      <c r="G60">
        <f>_xlfn.IFERROR(VLOOKUP(D60,#REF!,10,FALSE),0)</f>
        <v>0</v>
      </c>
      <c r="H60">
        <f t="shared" si="20"/>
        <v>0</v>
      </c>
      <c r="I60">
        <f>_xlfn.IFERROR(VLOOKUP(D60,#REF!,9,FALSE),0)</f>
        <v>0</v>
      </c>
      <c r="J60">
        <f t="shared" si="21"/>
        <v>0</v>
      </c>
      <c r="K60">
        <f t="shared" si="22"/>
        <v>0</v>
      </c>
      <c r="L60">
        <f t="shared" si="27"/>
        <v>0</v>
      </c>
      <c r="M60">
        <f t="shared" si="28"/>
        <v>0</v>
      </c>
      <c r="N60">
        <f t="shared" si="23"/>
        <v>0</v>
      </c>
      <c r="O60">
        <f t="shared" si="24"/>
        <v>0</v>
      </c>
      <c r="Q60" s="45">
        <f>IF(D60=0,0,0.00009)</f>
        <v>9E-05</v>
      </c>
      <c r="R60">
        <f t="shared" si="29"/>
        <v>30.00009</v>
      </c>
      <c r="S60" t="str">
        <f t="shared" si="30"/>
        <v>Marec Stachly</v>
      </c>
      <c r="T60" s="10" t="e">
        <f t="shared" si="31"/>
        <v>#REF!</v>
      </c>
      <c r="U60" s="10">
        <f t="shared" si="32"/>
        <v>30.00009</v>
      </c>
      <c r="AA60" s="117"/>
      <c r="AF60">
        <f t="shared" si="33"/>
        <v>0</v>
      </c>
      <c r="AG60">
        <f t="shared" si="34"/>
        <v>0</v>
      </c>
      <c r="AH60">
        <f t="shared" si="25"/>
        <v>0</v>
      </c>
      <c r="AI60">
        <f t="shared" si="26"/>
        <v>0</v>
      </c>
      <c r="AJ60">
        <f t="shared" si="35"/>
        <v>0</v>
      </c>
      <c r="AQ60" s="10">
        <v>50</v>
      </c>
      <c r="AS60" s="10" t="e">
        <f>VLOOKUP(8,$T$53:$U$66,2,FALSE)</f>
        <v>#N/A</v>
      </c>
      <c r="AT60" t="e">
        <f t="shared" si="36"/>
        <v>#N/A</v>
      </c>
      <c r="AU60" s="10" t="e">
        <f t="shared" si="37"/>
        <v>#N/A</v>
      </c>
      <c r="AV60" t="e">
        <f t="shared" si="38"/>
        <v>#N/A</v>
      </c>
      <c r="BA60" s="55"/>
      <c r="BB60" s="55"/>
      <c r="BC60" s="55"/>
      <c r="BD60" s="55"/>
    </row>
    <row r="61" spans="4:56" ht="12.75" hidden="1">
      <c r="D61" t="str">
        <f t="shared" si="39"/>
        <v>Tino Delling</v>
      </c>
      <c r="E61">
        <f t="shared" si="40"/>
        <v>8</v>
      </c>
      <c r="F61">
        <f>_xlfn.IFERROR(VLOOKUP(D61,#REF!,10,FALSE),0)</f>
        <v>0</v>
      </c>
      <c r="G61">
        <f>_xlfn.IFERROR(VLOOKUP(D61,#REF!,10,FALSE),0)</f>
        <v>0</v>
      </c>
      <c r="H61">
        <f t="shared" si="20"/>
        <v>0</v>
      </c>
      <c r="I61">
        <f>_xlfn.IFERROR(VLOOKUP(D61,#REF!,9,FALSE),0)</f>
        <v>0</v>
      </c>
      <c r="J61">
        <f t="shared" si="21"/>
        <v>0</v>
      </c>
      <c r="K61">
        <f t="shared" si="22"/>
        <v>0</v>
      </c>
      <c r="L61">
        <f t="shared" si="27"/>
        <v>0</v>
      </c>
      <c r="M61">
        <f t="shared" si="28"/>
        <v>0</v>
      </c>
      <c r="N61">
        <f t="shared" si="23"/>
        <v>0</v>
      </c>
      <c r="O61">
        <f t="shared" si="24"/>
        <v>0</v>
      </c>
      <c r="Q61" s="45">
        <f>IF(D61=0,0,0.0001)</f>
        <v>0.0001</v>
      </c>
      <c r="R61">
        <f t="shared" si="29"/>
        <v>40.0001</v>
      </c>
      <c r="S61" t="str">
        <f t="shared" si="30"/>
        <v>Tino Delling</v>
      </c>
      <c r="T61" s="10" t="e">
        <f t="shared" si="31"/>
        <v>#REF!</v>
      </c>
      <c r="U61" s="10">
        <f t="shared" si="32"/>
        <v>40.0001</v>
      </c>
      <c r="AA61" s="117"/>
      <c r="AF61">
        <f t="shared" si="33"/>
        <v>0</v>
      </c>
      <c r="AG61">
        <f t="shared" si="34"/>
        <v>0</v>
      </c>
      <c r="AH61">
        <f t="shared" si="25"/>
        <v>0</v>
      </c>
      <c r="AI61">
        <f t="shared" si="26"/>
        <v>0</v>
      </c>
      <c r="AJ61">
        <f t="shared" si="35"/>
        <v>0</v>
      </c>
      <c r="AQ61" s="10">
        <v>20</v>
      </c>
      <c r="AS61" s="10" t="e">
        <f>VLOOKUP(9,$T$53:$U$66,2,FALSE)</f>
        <v>#N/A</v>
      </c>
      <c r="AT61" t="e">
        <f t="shared" si="36"/>
        <v>#N/A</v>
      </c>
      <c r="AU61" s="10" t="e">
        <f t="shared" si="37"/>
        <v>#N/A</v>
      </c>
      <c r="AV61" t="e">
        <f t="shared" si="38"/>
        <v>#N/A</v>
      </c>
      <c r="BA61" s="55"/>
      <c r="BB61" s="55"/>
      <c r="BC61" s="55"/>
      <c r="BD61" s="55"/>
    </row>
    <row r="62" spans="4:56" ht="12.75" hidden="1">
      <c r="D62" t="str">
        <f t="shared" si="39"/>
        <v>Johannes Heyer</v>
      </c>
      <c r="E62">
        <f t="shared" si="40"/>
        <v>3</v>
      </c>
      <c r="F62">
        <f>_xlfn.IFERROR(VLOOKUP(D62,#REF!,10,FALSE),0)</f>
        <v>0</v>
      </c>
      <c r="G62">
        <f>_xlfn.IFERROR(VLOOKUP(D62,#REF!,10,FALSE),0)</f>
        <v>0</v>
      </c>
      <c r="H62">
        <f t="shared" si="20"/>
        <v>0</v>
      </c>
      <c r="I62">
        <f>_xlfn.IFERROR(VLOOKUP(D62,#REF!,9,FALSE),0)</f>
        <v>0</v>
      </c>
      <c r="J62">
        <f t="shared" si="21"/>
        <v>0</v>
      </c>
      <c r="K62">
        <f t="shared" si="22"/>
        <v>0</v>
      </c>
      <c r="L62">
        <f t="shared" si="27"/>
        <v>0</v>
      </c>
      <c r="M62">
        <f t="shared" si="28"/>
        <v>0</v>
      </c>
      <c r="N62">
        <f t="shared" si="23"/>
        <v>0</v>
      </c>
      <c r="O62">
        <f t="shared" si="24"/>
        <v>0</v>
      </c>
      <c r="Q62" s="45">
        <f>IF(D62=0,0,0.00011)</f>
        <v>0.00011</v>
      </c>
      <c r="R62">
        <f t="shared" si="29"/>
        <v>15.00011</v>
      </c>
      <c r="S62" t="str">
        <f t="shared" si="30"/>
        <v>Johannes Heyer</v>
      </c>
      <c r="T62" s="10" t="e">
        <f t="shared" si="31"/>
        <v>#REF!</v>
      </c>
      <c r="U62" s="10">
        <f t="shared" si="32"/>
        <v>15.00011</v>
      </c>
      <c r="AA62" s="117"/>
      <c r="AF62">
        <f t="shared" si="33"/>
        <v>0</v>
      </c>
      <c r="AG62">
        <f t="shared" si="34"/>
        <v>0</v>
      </c>
      <c r="AH62">
        <f t="shared" si="25"/>
        <v>0</v>
      </c>
      <c r="AI62">
        <f t="shared" si="26"/>
        <v>0</v>
      </c>
      <c r="AJ62">
        <f t="shared" si="35"/>
        <v>0</v>
      </c>
      <c r="AQ62" s="10">
        <v>20</v>
      </c>
      <c r="AS62" s="10" t="e">
        <f>VLOOKUP(10,$T$53:$U$66,2,FALSE)</f>
        <v>#N/A</v>
      </c>
      <c r="AT62" t="e">
        <f t="shared" si="36"/>
        <v>#N/A</v>
      </c>
      <c r="AU62" s="10" t="e">
        <f t="shared" si="37"/>
        <v>#N/A</v>
      </c>
      <c r="AV62" t="e">
        <f t="shared" si="38"/>
        <v>#N/A</v>
      </c>
      <c r="BA62" s="55"/>
      <c r="BB62" s="55"/>
      <c r="BC62" s="55"/>
      <c r="BD62" s="55"/>
    </row>
    <row r="63" spans="4:56" ht="12.75" hidden="1">
      <c r="D63" t="str">
        <f t="shared" si="39"/>
        <v>Markus Elstermann</v>
      </c>
      <c r="E63">
        <f t="shared" si="40"/>
        <v>3</v>
      </c>
      <c r="F63">
        <f>_xlfn.IFERROR(VLOOKUP(D63,#REF!,10,FALSE),0)</f>
        <v>0</v>
      </c>
      <c r="G63">
        <f>_xlfn.IFERROR(VLOOKUP(D63,#REF!,10,FALSE),0)</f>
        <v>0</v>
      </c>
      <c r="H63">
        <f t="shared" si="20"/>
        <v>0</v>
      </c>
      <c r="I63">
        <f>_xlfn.IFERROR(VLOOKUP(D63,#REF!,9,FALSE),0)</f>
        <v>0</v>
      </c>
      <c r="J63">
        <f t="shared" si="21"/>
        <v>0</v>
      </c>
      <c r="K63">
        <f t="shared" si="22"/>
        <v>0</v>
      </c>
      <c r="L63">
        <f t="shared" si="27"/>
        <v>0</v>
      </c>
      <c r="M63">
        <f t="shared" si="28"/>
        <v>0</v>
      </c>
      <c r="N63">
        <f t="shared" si="23"/>
        <v>0</v>
      </c>
      <c r="O63">
        <f t="shared" si="24"/>
        <v>0</v>
      </c>
      <c r="Q63" s="45">
        <f>IF(D63=0,0,0.00012)</f>
        <v>0.00012</v>
      </c>
      <c r="R63">
        <f t="shared" si="29"/>
        <v>15.00012</v>
      </c>
      <c r="S63" t="str">
        <f t="shared" si="30"/>
        <v>Markus Elstermann</v>
      </c>
      <c r="T63" s="10" t="e">
        <f t="shared" si="31"/>
        <v>#REF!</v>
      </c>
      <c r="U63" s="10">
        <f t="shared" si="32"/>
        <v>15.00012</v>
      </c>
      <c r="AA63" s="117"/>
      <c r="AF63">
        <f t="shared" si="33"/>
        <v>0</v>
      </c>
      <c r="AG63">
        <f t="shared" si="34"/>
        <v>0</v>
      </c>
      <c r="AH63">
        <f t="shared" si="25"/>
        <v>0</v>
      </c>
      <c r="AI63">
        <f t="shared" si="26"/>
        <v>0</v>
      </c>
      <c r="AJ63">
        <f t="shared" si="35"/>
        <v>0</v>
      </c>
      <c r="AQ63" s="10">
        <v>20</v>
      </c>
      <c r="AS63" s="10" t="e">
        <f>VLOOKUP(11,$T$53:$U$66,2,FALSE)</f>
        <v>#N/A</v>
      </c>
      <c r="AT63" t="e">
        <f t="shared" si="36"/>
        <v>#N/A</v>
      </c>
      <c r="AU63" s="10" t="e">
        <f t="shared" si="37"/>
        <v>#N/A</v>
      </c>
      <c r="AV63" t="e">
        <f t="shared" si="38"/>
        <v>#N/A</v>
      </c>
      <c r="BA63" s="55"/>
      <c r="BB63" s="55"/>
      <c r="BC63" s="55"/>
      <c r="BD63" s="55"/>
    </row>
    <row r="64" spans="4:56" ht="12.75" hidden="1">
      <c r="D64" t="str">
        <f t="shared" si="39"/>
        <v>Michael Kandler</v>
      </c>
      <c r="E64">
        <f t="shared" si="40"/>
        <v>5</v>
      </c>
      <c r="F64">
        <f>_xlfn.IFERROR(VLOOKUP(D64,#REF!,10,FALSE),0)</f>
        <v>0</v>
      </c>
      <c r="G64">
        <f>_xlfn.IFERROR(VLOOKUP(D64,#REF!,10,FALSE),0)</f>
        <v>0</v>
      </c>
      <c r="H64">
        <f t="shared" si="20"/>
        <v>0</v>
      </c>
      <c r="I64">
        <f>_xlfn.IFERROR(VLOOKUP(D64,#REF!,9,FALSE),0)</f>
        <v>0</v>
      </c>
      <c r="J64">
        <f t="shared" si="21"/>
        <v>0</v>
      </c>
      <c r="K64">
        <f t="shared" si="22"/>
        <v>0</v>
      </c>
      <c r="L64">
        <f t="shared" si="27"/>
        <v>0</v>
      </c>
      <c r="M64">
        <f t="shared" si="28"/>
        <v>0</v>
      </c>
      <c r="N64">
        <f t="shared" si="23"/>
        <v>0</v>
      </c>
      <c r="O64">
        <f t="shared" si="24"/>
        <v>0</v>
      </c>
      <c r="Q64" s="45">
        <f>IF(D64=0,0,0.00013)</f>
        <v>0.00013</v>
      </c>
      <c r="R64">
        <f t="shared" si="29"/>
        <v>25.00013</v>
      </c>
      <c r="S64" t="str">
        <f t="shared" si="30"/>
        <v>Michael Kandler</v>
      </c>
      <c r="T64" s="10" t="e">
        <f t="shared" si="31"/>
        <v>#REF!</v>
      </c>
      <c r="U64" s="10">
        <f t="shared" si="32"/>
        <v>25.00013</v>
      </c>
      <c r="AA64" s="117"/>
      <c r="AF64">
        <f t="shared" si="33"/>
        <v>0</v>
      </c>
      <c r="AG64">
        <f t="shared" si="34"/>
        <v>0</v>
      </c>
      <c r="AH64">
        <f t="shared" si="25"/>
        <v>0</v>
      </c>
      <c r="AI64">
        <f t="shared" si="26"/>
        <v>0</v>
      </c>
      <c r="AJ64">
        <f t="shared" si="35"/>
        <v>0</v>
      </c>
      <c r="AQ64" s="10">
        <v>20</v>
      </c>
      <c r="AS64" s="10" t="e">
        <f>VLOOKUP(12,$T$53:$U$66,2,FALSE)</f>
        <v>#N/A</v>
      </c>
      <c r="AT64" t="e">
        <f t="shared" si="36"/>
        <v>#N/A</v>
      </c>
      <c r="AU64" s="10" t="e">
        <f t="shared" si="37"/>
        <v>#N/A</v>
      </c>
      <c r="AV64" t="e">
        <f t="shared" si="38"/>
        <v>#N/A</v>
      </c>
      <c r="BA64" s="55"/>
      <c r="BB64" s="55"/>
      <c r="BC64" s="55"/>
      <c r="BD64" s="55"/>
    </row>
    <row r="65" spans="4:56" ht="12.75" hidden="1">
      <c r="D65">
        <f t="shared" si="39"/>
      </c>
      <c r="E65">
        <f t="shared" si="40"/>
        <v>0</v>
      </c>
      <c r="F65">
        <f>_xlfn.IFERROR(VLOOKUP(D65,#REF!,10,FALSE),0)</f>
        <v>0</v>
      </c>
      <c r="G65">
        <f>_xlfn.IFERROR(VLOOKUP(D65,#REF!,10,FALSE),0)</f>
        <v>0</v>
      </c>
      <c r="H65">
        <f t="shared" si="20"/>
        <v>0</v>
      </c>
      <c r="I65">
        <f>_xlfn.IFERROR(VLOOKUP(D65,#REF!,9,FALSE),0)</f>
        <v>0</v>
      </c>
      <c r="J65">
        <f t="shared" si="21"/>
        <v>0</v>
      </c>
      <c r="K65">
        <f t="shared" si="22"/>
        <v>0</v>
      </c>
      <c r="L65">
        <f t="shared" si="27"/>
        <v>0</v>
      </c>
      <c r="M65">
        <f t="shared" si="28"/>
        <v>0</v>
      </c>
      <c r="N65">
        <f t="shared" si="23"/>
        <v>0</v>
      </c>
      <c r="O65">
        <f t="shared" si="24"/>
        <v>0</v>
      </c>
      <c r="Q65" s="45">
        <f>IF(D65=0,0,0.00014)</f>
        <v>0.00014</v>
      </c>
      <c r="R65">
        <f t="shared" si="29"/>
        <v>0.00014</v>
      </c>
      <c r="S65">
        <f>D65</f>
      </c>
      <c r="T65" s="10" t="e">
        <f t="shared" si="31"/>
        <v>#REF!</v>
      </c>
      <c r="U65" s="10">
        <f t="shared" si="32"/>
        <v>0.00014</v>
      </c>
      <c r="AA65" s="117"/>
      <c r="AF65">
        <f t="shared" si="33"/>
        <v>0</v>
      </c>
      <c r="AG65">
        <f t="shared" si="34"/>
        <v>0</v>
      </c>
      <c r="AH65">
        <f t="shared" si="25"/>
        <v>0</v>
      </c>
      <c r="AI65">
        <f t="shared" si="26"/>
        <v>0</v>
      </c>
      <c r="AJ65">
        <f t="shared" si="35"/>
        <v>0</v>
      </c>
      <c r="AQ65" s="10">
        <v>20</v>
      </c>
      <c r="AS65" s="10" t="e">
        <f>VLOOKUP(13,$T$53:$U$66,2,FALSE)</f>
        <v>#N/A</v>
      </c>
      <c r="AT65" t="e">
        <f t="shared" si="36"/>
        <v>#N/A</v>
      </c>
      <c r="AU65" s="10" t="e">
        <f t="shared" si="37"/>
        <v>#N/A</v>
      </c>
      <c r="AV65" t="e">
        <f t="shared" si="38"/>
        <v>#N/A</v>
      </c>
      <c r="BA65" s="55"/>
      <c r="BB65" s="55"/>
      <c r="BC65" s="55"/>
      <c r="BD65" s="55"/>
    </row>
    <row r="66" spans="4:56" ht="12.75" hidden="1">
      <c r="D66" t="e">
        <f>#REF!</f>
        <v>#REF!</v>
      </c>
      <c r="E66" t="e">
        <f>#REF!</f>
        <v>#REF!</v>
      </c>
      <c r="F66">
        <f>_xlfn.IFERROR(VLOOKUP(D66,#REF!,10,FALSE),0)</f>
        <v>0</v>
      </c>
      <c r="G66">
        <f>_xlfn.IFERROR(VLOOKUP(D66,#REF!,10,FALSE),0)</f>
        <v>0</v>
      </c>
      <c r="H66">
        <f t="shared" si="20"/>
        <v>0</v>
      </c>
      <c r="I66">
        <f>_xlfn.IFERROR(VLOOKUP(D66,#REF!,9,FALSE),0)</f>
        <v>0</v>
      </c>
      <c r="J66">
        <f t="shared" si="21"/>
        <v>0</v>
      </c>
      <c r="K66">
        <f t="shared" si="22"/>
        <v>0</v>
      </c>
      <c r="L66">
        <f t="shared" si="27"/>
        <v>0</v>
      </c>
      <c r="M66">
        <f t="shared" si="28"/>
        <v>0</v>
      </c>
      <c r="N66">
        <f t="shared" si="23"/>
        <v>0</v>
      </c>
      <c r="O66">
        <f t="shared" si="24"/>
        <v>0</v>
      </c>
      <c r="Q66" s="45" t="e">
        <f>IF(D66=0,0,0.00015)</f>
        <v>#REF!</v>
      </c>
      <c r="R66" t="e">
        <f t="shared" si="29"/>
        <v>#REF!</v>
      </c>
      <c r="S66" t="e">
        <f t="shared" si="30"/>
        <v>#REF!</v>
      </c>
      <c r="T66" s="10" t="e">
        <f t="shared" si="31"/>
        <v>#REF!</v>
      </c>
      <c r="U66" s="10" t="e">
        <f t="shared" si="32"/>
        <v>#REF!</v>
      </c>
      <c r="AA66" s="117"/>
      <c r="AF66" t="e">
        <f t="shared" si="33"/>
        <v>#REF!</v>
      </c>
      <c r="AG66" t="e">
        <f t="shared" si="34"/>
        <v>#REF!</v>
      </c>
      <c r="AH66" t="e">
        <f t="shared" si="25"/>
        <v>#REF!</v>
      </c>
      <c r="AI66" t="e">
        <f t="shared" si="26"/>
        <v>#REF!</v>
      </c>
      <c r="AJ66" t="e">
        <f t="shared" si="35"/>
        <v>#REF!</v>
      </c>
      <c r="AQ66" s="10">
        <v>20</v>
      </c>
      <c r="AS66" s="10" t="e">
        <f>VLOOKUP(14,$T$53:$U$66,2,FALSE)</f>
        <v>#N/A</v>
      </c>
      <c r="AT66" t="e">
        <f t="shared" si="36"/>
        <v>#N/A</v>
      </c>
      <c r="AU66" s="10" t="e">
        <f t="shared" si="37"/>
        <v>#N/A</v>
      </c>
      <c r="AV66" t="e">
        <f t="shared" si="38"/>
        <v>#N/A</v>
      </c>
      <c r="BA66" s="55"/>
      <c r="BB66" s="55"/>
      <c r="BC66" s="55"/>
      <c r="BD66" s="55"/>
    </row>
    <row r="67" spans="53:56" ht="12.75" hidden="1">
      <c r="BA67" s="55"/>
      <c r="BB67" s="55"/>
      <c r="BC67" s="55"/>
      <c r="BD67" s="55"/>
    </row>
    <row r="68" spans="53:56" ht="12.75">
      <c r="BA68" s="55"/>
      <c r="BB68" s="55"/>
      <c r="BC68" s="55"/>
      <c r="BD68" s="55"/>
    </row>
    <row r="69" spans="53:56" ht="12.75">
      <c r="BA69" s="55"/>
      <c r="BB69" s="55"/>
      <c r="BC69" s="55"/>
      <c r="BD69" s="55"/>
    </row>
    <row r="70" spans="53:56" ht="12.75">
      <c r="BA70" s="55"/>
      <c r="BB70" s="55"/>
      <c r="BC70" s="55"/>
      <c r="BD70" s="55"/>
    </row>
    <row r="71" spans="53:56" ht="12.75">
      <c r="BA71" s="55"/>
      <c r="BB71" s="55"/>
      <c r="BC71" s="55"/>
      <c r="BD71" s="55"/>
    </row>
    <row r="72" spans="53:56" ht="12.75">
      <c r="BA72" s="55"/>
      <c r="BB72" s="55"/>
      <c r="BC72" s="55"/>
      <c r="BD72" s="55"/>
    </row>
    <row r="73" spans="53:56" ht="12.75">
      <c r="BA73" s="55"/>
      <c r="BB73" s="55"/>
      <c r="BC73" s="55"/>
      <c r="BD73" s="55"/>
    </row>
    <row r="74" spans="53:56" ht="12.75">
      <c r="BA74" s="55"/>
      <c r="BB74" s="55"/>
      <c r="BC74" s="55"/>
      <c r="BD74" s="55"/>
    </row>
    <row r="75" spans="53:56" ht="12.75">
      <c r="BA75" s="55"/>
      <c r="BB75" s="55"/>
      <c r="BC75" s="55"/>
      <c r="BD75" s="55"/>
    </row>
    <row r="76" spans="53:56" ht="12.75">
      <c r="BA76" s="55"/>
      <c r="BB76" s="55"/>
      <c r="BC76" s="55"/>
      <c r="BD76" s="55"/>
    </row>
  </sheetData>
  <sheetProtection password="CF56" sheet="1" objects="1" scenarios="1"/>
  <protectedRanges>
    <protectedRange sqref="AQ3:AV8" name="breaks2"/>
    <protectedRange sqref="BA2" name="letzte Gruppe"/>
    <protectedRange sqref="C10:C24 C27:C28 C30 AD32 AD27:AD28 AD30" name="Zeit1"/>
    <protectedRange sqref="AX3:AX8" name="Bereich14"/>
    <protectedRange sqref="R26:R33 R35:R39 AS32 AS26:AS30" name="Bereich10"/>
    <protectedRange sqref="R3:U8 AS3:AV8" name="Bereich4"/>
    <protectedRange sqref="R27:R30 R10:R24 R37 AS10:AS24 AS32 AS27:AS30" name="Bereich2"/>
    <protectedRange sqref="P27:P30 P10:P24 P37 AQ10:AQ24 AQ32 AQ27:AQ30" name="Bereich1"/>
    <protectedRange sqref="W10:X24" name="Bereich3"/>
    <protectedRange sqref="AA37:AL37 AA29:AC29 AA30:AB30 AA27:AB28 B29" name="Bereich5"/>
    <protectedRange sqref="P26:P33 P35:P39 AQ32 AQ26:AQ30" name="Bereich9"/>
    <protectedRange sqref="AA3:AA8" name="Bereich13"/>
    <protectedRange sqref="AD10:AD24" name="Zeit"/>
    <protectedRange sqref="AC2:AD2" name="Shootoutzeit"/>
    <protectedRange sqref="P3:U8" name="breaks1"/>
  </protectedRanges>
  <mergeCells count="125">
    <mergeCell ref="AA39:AL39"/>
    <mergeCell ref="BB40:BC40"/>
    <mergeCell ref="AE30:AJ30"/>
    <mergeCell ref="AK30:AP30"/>
    <mergeCell ref="D1:AA1"/>
    <mergeCell ref="AE1:AX1"/>
    <mergeCell ref="AE26:AP26"/>
    <mergeCell ref="AE27:AJ27"/>
    <mergeCell ref="AK27:AP27"/>
    <mergeCell ref="AE28:AJ28"/>
    <mergeCell ref="AZ1:BC1"/>
    <mergeCell ref="AE24:AJ24"/>
    <mergeCell ref="AK24:AP24"/>
    <mergeCell ref="AK25:AP25"/>
    <mergeCell ref="AE20:AJ20"/>
    <mergeCell ref="AA37:AE37"/>
    <mergeCell ref="AF37:AL37"/>
    <mergeCell ref="AK28:AP28"/>
    <mergeCell ref="AE29:AP29"/>
    <mergeCell ref="AE23:AJ23"/>
    <mergeCell ref="AK23:AP23"/>
    <mergeCell ref="AK20:AP20"/>
    <mergeCell ref="AE21:AJ21"/>
    <mergeCell ref="AK21:AP21"/>
    <mergeCell ref="AE22:AJ22"/>
    <mergeCell ref="AK22:AP22"/>
    <mergeCell ref="AK13:AP13"/>
    <mergeCell ref="AE18:AJ18"/>
    <mergeCell ref="AK18:AP18"/>
    <mergeCell ref="AE19:AJ19"/>
    <mergeCell ref="AK19:AP19"/>
    <mergeCell ref="AE16:AJ16"/>
    <mergeCell ref="AK16:AP16"/>
    <mergeCell ref="AE17:AJ17"/>
    <mergeCell ref="AK17:AP17"/>
    <mergeCell ref="AK11:AP11"/>
    <mergeCell ref="AE7:AJ7"/>
    <mergeCell ref="AQ8:AV8"/>
    <mergeCell ref="AE14:AJ14"/>
    <mergeCell ref="AK14:AP14"/>
    <mergeCell ref="AE15:AJ15"/>
    <mergeCell ref="AK15:AP15"/>
    <mergeCell ref="AE12:AJ12"/>
    <mergeCell ref="AK12:AP12"/>
    <mergeCell ref="AE13:AJ13"/>
    <mergeCell ref="AC1:AD1"/>
    <mergeCell ref="AC2:AD2"/>
    <mergeCell ref="J19:O19"/>
    <mergeCell ref="AE2:AJ2"/>
    <mergeCell ref="AE3:AJ3"/>
    <mergeCell ref="AE4:AJ4"/>
    <mergeCell ref="AE8:AJ8"/>
    <mergeCell ref="AE5:AJ5"/>
    <mergeCell ref="AE6:AJ6"/>
    <mergeCell ref="AE10:AJ10"/>
    <mergeCell ref="J17:O17"/>
    <mergeCell ref="J18:O18"/>
    <mergeCell ref="D8:I8"/>
    <mergeCell ref="D6:I6"/>
    <mergeCell ref="D2:I2"/>
    <mergeCell ref="D3:I3"/>
    <mergeCell ref="D4:I4"/>
    <mergeCell ref="J12:O12"/>
    <mergeCell ref="J13:O13"/>
    <mergeCell ref="J16:O16"/>
    <mergeCell ref="J14:O14"/>
    <mergeCell ref="D5:I5"/>
    <mergeCell ref="J10:O10"/>
    <mergeCell ref="D11:I11"/>
    <mergeCell ref="J11:O11"/>
    <mergeCell ref="D7:I7"/>
    <mergeCell ref="D17:I17"/>
    <mergeCell ref="D16:I16"/>
    <mergeCell ref="D13:I13"/>
    <mergeCell ref="D10:I10"/>
    <mergeCell ref="D18:I18"/>
    <mergeCell ref="D19:I19"/>
    <mergeCell ref="D12:I12"/>
    <mergeCell ref="D15:I15"/>
    <mergeCell ref="D14:I14"/>
    <mergeCell ref="D23:I23"/>
    <mergeCell ref="J23:O23"/>
    <mergeCell ref="D20:I20"/>
    <mergeCell ref="D21:I21"/>
    <mergeCell ref="J20:O20"/>
    <mergeCell ref="J21:O21"/>
    <mergeCell ref="D22:I22"/>
    <mergeCell ref="J22:O22"/>
    <mergeCell ref="J37:O37"/>
    <mergeCell ref="D30:I30"/>
    <mergeCell ref="J30:O30"/>
    <mergeCell ref="D36:O36"/>
    <mergeCell ref="AE25:AJ25"/>
    <mergeCell ref="D24:I24"/>
    <mergeCell ref="J24:O24"/>
    <mergeCell ref="D25:I25"/>
    <mergeCell ref="J25:O25"/>
    <mergeCell ref="AE32:AJ32"/>
    <mergeCell ref="J15:O15"/>
    <mergeCell ref="D39:O39"/>
    <mergeCell ref="D27:I27"/>
    <mergeCell ref="J27:O27"/>
    <mergeCell ref="BA26:BD26"/>
    <mergeCell ref="D28:I28"/>
    <mergeCell ref="D29:O29"/>
    <mergeCell ref="D37:I37"/>
    <mergeCell ref="J28:O28"/>
    <mergeCell ref="D26:O26"/>
    <mergeCell ref="P3:U3"/>
    <mergeCell ref="P4:U4"/>
    <mergeCell ref="P5:U5"/>
    <mergeCell ref="P6:U6"/>
    <mergeCell ref="P8:U8"/>
    <mergeCell ref="P2:U2"/>
    <mergeCell ref="P7:U7"/>
    <mergeCell ref="AK32:AP32"/>
    <mergeCell ref="AE31:AP31"/>
    <mergeCell ref="AQ2:AV2"/>
    <mergeCell ref="AQ3:AV3"/>
    <mergeCell ref="AQ4:AV4"/>
    <mergeCell ref="AQ5:AV5"/>
    <mergeCell ref="AQ6:AV6"/>
    <mergeCell ref="AQ7:AV7"/>
    <mergeCell ref="AK10:AP10"/>
    <mergeCell ref="AE11:AJ11"/>
  </mergeCells>
  <conditionalFormatting sqref="V3:AA8 D3:P8">
    <cfRule type="expression" priority="453" dxfId="77" stopIfTrue="1">
      <formula>$D3=""</formula>
    </cfRule>
  </conditionalFormatting>
  <conditionalFormatting sqref="D10:R10">
    <cfRule type="expression" priority="16" dxfId="1" stopIfTrue="1">
      <formula>$P10+$R10&gt;=2</formula>
    </cfRule>
  </conditionalFormatting>
  <conditionalFormatting sqref="AE10:AS24">
    <cfRule type="expression" priority="17" dxfId="1" stopIfTrue="1">
      <formula>$AQ10+$AS10&gt;=2</formula>
    </cfRule>
  </conditionalFormatting>
  <conditionalFormatting sqref="D10:O10">
    <cfRule type="expression" priority="438" dxfId="32" stopIfTrue="1">
      <formula>$Z$10=4</formula>
    </cfRule>
    <cfRule type="expression" priority="450" dxfId="3" stopIfTrue="1">
      <formula>$C10&lt;&gt;0</formula>
    </cfRule>
  </conditionalFormatting>
  <conditionalFormatting sqref="AE10:AP24">
    <cfRule type="expression" priority="444" dxfId="3" stopIfTrue="1">
      <formula>$AD10&lt;&gt;0</formula>
    </cfRule>
  </conditionalFormatting>
  <conditionalFormatting sqref="D30:O30">
    <cfRule type="expression" priority="315" dxfId="77" stopIfTrue="1">
      <formula>$D30=0</formula>
    </cfRule>
  </conditionalFormatting>
  <conditionalFormatting sqref="D30:O30">
    <cfRule type="expression" priority="314" dxfId="3" stopIfTrue="1">
      <formula>$C30&lt;&gt;0</formula>
    </cfRule>
  </conditionalFormatting>
  <conditionalFormatting sqref="D30:I30">
    <cfRule type="expression" priority="233" dxfId="79" stopIfTrue="1">
      <formula>$P$30&gt;$R$30</formula>
    </cfRule>
  </conditionalFormatting>
  <conditionalFormatting sqref="J30:O30">
    <cfRule type="expression" priority="232" dxfId="79" stopIfTrue="1">
      <formula>$R$30&gt;$P$30</formula>
    </cfRule>
  </conditionalFormatting>
  <conditionalFormatting sqref="AD32:AS32">
    <cfRule type="expression" priority="198" dxfId="0" stopIfTrue="1">
      <formula>$AC$32=""</formula>
    </cfRule>
  </conditionalFormatting>
  <conditionalFormatting sqref="AE31:AP31">
    <cfRule type="expression" priority="197" dxfId="100" stopIfTrue="1">
      <formula>$BA$2=""</formula>
    </cfRule>
  </conditionalFormatting>
  <conditionalFormatting sqref="AE32:AJ32">
    <cfRule type="expression" priority="196" dxfId="79" stopIfTrue="1">
      <formula>$AQ$32&gt;$AS$32</formula>
    </cfRule>
  </conditionalFormatting>
  <conditionalFormatting sqref="AK32:AP32">
    <cfRule type="expression" priority="195" dxfId="79" stopIfTrue="1">
      <formula>$AS$32&gt;$AQ$32</formula>
    </cfRule>
  </conditionalFormatting>
  <conditionalFormatting sqref="D8:AA8">
    <cfRule type="expression" priority="194" dxfId="92" stopIfTrue="1">
      <formula>$D$8="X"</formula>
    </cfRule>
  </conditionalFormatting>
  <conditionalFormatting sqref="AE12:AS12">
    <cfRule type="expression" priority="187" dxfId="92" stopIfTrue="1">
      <formula>$AE$8="X"</formula>
    </cfRule>
  </conditionalFormatting>
  <conditionalFormatting sqref="AE19:AS19">
    <cfRule type="expression" priority="186" dxfId="92" stopIfTrue="1">
      <formula>$AE$8="X"</formula>
    </cfRule>
  </conditionalFormatting>
  <conditionalFormatting sqref="AE21:AS21">
    <cfRule type="expression" priority="185" dxfId="92" stopIfTrue="1">
      <formula>$AE$8="X"</formula>
    </cfRule>
  </conditionalFormatting>
  <conditionalFormatting sqref="AE23:AS23">
    <cfRule type="expression" priority="184" dxfId="92" stopIfTrue="1">
      <formula>$AE$8="X"</formula>
    </cfRule>
  </conditionalFormatting>
  <conditionalFormatting sqref="AE24:AS24">
    <cfRule type="expression" priority="183" dxfId="92" stopIfTrue="1">
      <formula>$AE$8="X"</formula>
    </cfRule>
  </conditionalFormatting>
  <conditionalFormatting sqref="P11:R24">
    <cfRule type="expression" priority="162" dxfId="1" stopIfTrue="1">
      <formula>$P11+$R11&gt;=2</formula>
    </cfRule>
    <cfRule type="expression" priority="164" dxfId="77" stopIfTrue="1">
      <formula>$D11=""</formula>
    </cfRule>
  </conditionalFormatting>
  <conditionalFormatting sqref="AE3:AX3">
    <cfRule type="expression" priority="127" dxfId="77" stopIfTrue="1">
      <formula>$AE$3=""</formula>
    </cfRule>
  </conditionalFormatting>
  <conditionalFormatting sqref="AE4:AX4">
    <cfRule type="expression" priority="126" dxfId="77" stopIfTrue="1">
      <formula>$AE$3=""</formula>
    </cfRule>
  </conditionalFormatting>
  <conditionalFormatting sqref="AE5:AX5">
    <cfRule type="expression" priority="125" dxfId="77" stopIfTrue="1">
      <formula>$AE$3=""</formula>
    </cfRule>
  </conditionalFormatting>
  <conditionalFormatting sqref="AE6:AX6">
    <cfRule type="expression" priority="124" dxfId="77" stopIfTrue="1">
      <formula>$AE$6=""</formula>
    </cfRule>
  </conditionalFormatting>
  <conditionalFormatting sqref="AE7:AX7">
    <cfRule type="expression" priority="123" dxfId="77" stopIfTrue="1">
      <formula>$AE$7=""</formula>
    </cfRule>
  </conditionalFormatting>
  <conditionalFormatting sqref="AE8:AX8">
    <cfRule type="expression" priority="122" dxfId="77" stopIfTrue="1">
      <formula>$AE$8=""</formula>
    </cfRule>
  </conditionalFormatting>
  <conditionalFormatting sqref="AE30:AP30">
    <cfRule type="expression" priority="106" dxfId="1" stopIfTrue="1">
      <formula>$AQ$30+$AS$30&gt;=2</formula>
    </cfRule>
    <cfRule type="expression" priority="108" dxfId="77" stopIfTrue="1">
      <formula>$AE$30=0</formula>
    </cfRule>
  </conditionalFormatting>
  <conditionalFormatting sqref="AE30:AP30">
    <cfRule type="expression" priority="107" dxfId="3" stopIfTrue="1">
      <formula>$AD$30&lt;&gt;0</formula>
    </cfRule>
  </conditionalFormatting>
  <conditionalFormatting sqref="AE30:AJ30">
    <cfRule type="expression" priority="105" dxfId="79" stopIfTrue="1">
      <formula>$AQ$30&gt;$AS$30</formula>
    </cfRule>
  </conditionalFormatting>
  <conditionalFormatting sqref="AK30:AP30">
    <cfRule type="expression" priority="104" dxfId="79" stopIfTrue="1">
      <formula>$AS$30&gt;$AQ$30</formula>
    </cfRule>
  </conditionalFormatting>
  <conditionalFormatting sqref="D11:O24">
    <cfRule type="expression" priority="65" dxfId="1" stopIfTrue="1">
      <formula>$P11+$R11&gt;=2</formula>
    </cfRule>
    <cfRule type="expression" priority="82" dxfId="77" stopIfTrue="1">
      <formula>$D11=0</formula>
    </cfRule>
  </conditionalFormatting>
  <conditionalFormatting sqref="D11:O24">
    <cfRule type="expression" priority="81" dxfId="3" stopIfTrue="1">
      <formula>$C11&lt;&gt;0</formula>
    </cfRule>
  </conditionalFormatting>
  <conditionalFormatting sqref="D11:O11">
    <cfRule type="expression" priority="79" dxfId="32" stopIfTrue="1">
      <formula>$Z$11=4</formula>
    </cfRule>
  </conditionalFormatting>
  <conditionalFormatting sqref="D12:O12">
    <cfRule type="expression" priority="78" dxfId="32" stopIfTrue="1">
      <formula>$Z$12=4</formula>
    </cfRule>
  </conditionalFormatting>
  <conditionalFormatting sqref="D13:O13">
    <cfRule type="expression" priority="76" dxfId="32" stopIfTrue="1">
      <formula>$Z$13=4</formula>
    </cfRule>
  </conditionalFormatting>
  <conditionalFormatting sqref="D14:O14">
    <cfRule type="expression" priority="77" dxfId="32" stopIfTrue="1">
      <formula>$Z$14=4</formula>
    </cfRule>
  </conditionalFormatting>
  <conditionalFormatting sqref="D15:O15">
    <cfRule type="expression" priority="75" dxfId="32" stopIfTrue="1">
      <formula>$Z$15=4</formula>
    </cfRule>
  </conditionalFormatting>
  <conditionalFormatting sqref="D16:O16">
    <cfRule type="expression" priority="74" dxfId="32" stopIfTrue="1">
      <formula>$Z$16=4</formula>
    </cfRule>
  </conditionalFormatting>
  <conditionalFormatting sqref="D17:O17">
    <cfRule type="expression" priority="73" dxfId="32" stopIfTrue="1">
      <formula>$Z$17=4</formula>
    </cfRule>
  </conditionalFormatting>
  <conditionalFormatting sqref="D18:O18">
    <cfRule type="expression" priority="72" dxfId="32" stopIfTrue="1">
      <formula>$Z$18=4</formula>
    </cfRule>
  </conditionalFormatting>
  <conditionalFormatting sqref="D19:O19">
    <cfRule type="expression" priority="71" dxfId="32" stopIfTrue="1">
      <formula>$Z$19=4</formula>
    </cfRule>
  </conditionalFormatting>
  <conditionalFormatting sqref="D20:O20">
    <cfRule type="expression" priority="70" dxfId="32" stopIfTrue="1">
      <formula>$Z$20=4</formula>
    </cfRule>
  </conditionalFormatting>
  <conditionalFormatting sqref="D21:O21">
    <cfRule type="expression" priority="69" dxfId="32" stopIfTrue="1">
      <formula>$Z$21=4</formula>
    </cfRule>
  </conditionalFormatting>
  <conditionalFormatting sqref="D22:O22">
    <cfRule type="expression" priority="68" dxfId="32" stopIfTrue="1">
      <formula>$Z$22=4</formula>
    </cfRule>
  </conditionalFormatting>
  <conditionalFormatting sqref="D23:O23">
    <cfRule type="expression" priority="67" dxfId="32" stopIfTrue="1">
      <formula>$Z$23=4</formula>
    </cfRule>
  </conditionalFormatting>
  <conditionalFormatting sqref="D24:O24">
    <cfRule type="expression" priority="66" dxfId="32" stopIfTrue="1">
      <formula>$Z$24=4</formula>
    </cfRule>
  </conditionalFormatting>
  <conditionalFormatting sqref="AE10:AP10">
    <cfRule type="expression" priority="61" dxfId="33" stopIfTrue="1">
      <formula>$AD$10=""</formula>
    </cfRule>
    <cfRule type="expression" priority="433" dxfId="32" stopIfTrue="1">
      <formula>$AC$1&gt;$AY$10</formula>
    </cfRule>
  </conditionalFormatting>
  <conditionalFormatting sqref="AE11:AP11">
    <cfRule type="expression" priority="62" dxfId="33" stopIfTrue="1">
      <formula>$AD$11=""</formula>
    </cfRule>
    <cfRule type="expression" priority="64" dxfId="32" stopIfTrue="1">
      <formula>$AC$1&gt;$AY$11</formula>
    </cfRule>
  </conditionalFormatting>
  <conditionalFormatting sqref="AE12:AP12">
    <cfRule type="expression" priority="59" dxfId="33" stopIfTrue="1">
      <formula>$AD$12=""</formula>
    </cfRule>
    <cfRule type="expression" priority="60" dxfId="32" stopIfTrue="1">
      <formula>$AC$1&gt;$AY$12</formula>
    </cfRule>
  </conditionalFormatting>
  <conditionalFormatting sqref="AE13:AP13">
    <cfRule type="expression" priority="57" dxfId="33" stopIfTrue="1">
      <formula>$AD$13=""</formula>
    </cfRule>
    <cfRule type="expression" priority="58" dxfId="32" stopIfTrue="1">
      <formula>$AC$1&gt;$AY$13</formula>
    </cfRule>
  </conditionalFormatting>
  <conditionalFormatting sqref="AE14:AP14">
    <cfRule type="expression" priority="55" dxfId="33" stopIfTrue="1">
      <formula>$AD$14=""</formula>
    </cfRule>
    <cfRule type="expression" priority="56" dxfId="32" stopIfTrue="1">
      <formula>$AC$1&gt;$AY$14</formula>
    </cfRule>
  </conditionalFormatting>
  <conditionalFormatting sqref="AE15:AP15">
    <cfRule type="expression" priority="53" dxfId="33" stopIfTrue="1">
      <formula>$AD$15=""</formula>
    </cfRule>
    <cfRule type="expression" priority="54" dxfId="32" stopIfTrue="1">
      <formula>$AC$1&gt;$AY$15</formula>
    </cfRule>
  </conditionalFormatting>
  <conditionalFormatting sqref="AE16:AP16">
    <cfRule type="expression" priority="51" dxfId="33" stopIfTrue="1">
      <formula>$AD$16=""</formula>
    </cfRule>
    <cfRule type="expression" priority="52" dxfId="32" stopIfTrue="1">
      <formula>$AC$1&gt;$AY$16</formula>
    </cfRule>
  </conditionalFormatting>
  <conditionalFormatting sqref="AE17:AP17">
    <cfRule type="expression" priority="49" dxfId="33" stopIfTrue="1">
      <formula>$AD$17=""</formula>
    </cfRule>
    <cfRule type="expression" priority="50" dxfId="32" stopIfTrue="1">
      <formula>$AC$1&gt;$AY$17</formula>
    </cfRule>
  </conditionalFormatting>
  <conditionalFormatting sqref="AE18:AP18">
    <cfRule type="expression" priority="47" dxfId="33" stopIfTrue="1">
      <formula>$AD$18=""</formula>
    </cfRule>
    <cfRule type="expression" priority="48" dxfId="32" stopIfTrue="1">
      <formula>$AC$1&gt;$AY$18</formula>
    </cfRule>
  </conditionalFormatting>
  <conditionalFormatting sqref="AE19:AP19">
    <cfRule type="expression" priority="45" dxfId="33" stopIfTrue="1">
      <formula>$AD$19=""</formula>
    </cfRule>
    <cfRule type="expression" priority="46" dxfId="32" stopIfTrue="1">
      <formula>$AC$1&gt;$AY$19</formula>
    </cfRule>
  </conditionalFormatting>
  <conditionalFormatting sqref="AE20:AP20">
    <cfRule type="expression" priority="43" dxfId="33" stopIfTrue="1">
      <formula>$AD$20=""</formula>
    </cfRule>
    <cfRule type="expression" priority="44" dxfId="32" stopIfTrue="1">
      <formula>$AC$1&gt;$AY$20</formula>
    </cfRule>
  </conditionalFormatting>
  <conditionalFormatting sqref="AE21:AP21">
    <cfRule type="expression" priority="41" dxfId="33" stopIfTrue="1">
      <formula>$AD$21=""</formula>
    </cfRule>
    <cfRule type="expression" priority="42" dxfId="32" stopIfTrue="1">
      <formula>$AC$1&gt;$AY$21</formula>
    </cfRule>
  </conditionalFormatting>
  <conditionalFormatting sqref="AE22:AP22">
    <cfRule type="expression" priority="39" dxfId="33" stopIfTrue="1">
      <formula>$AD$22=""</formula>
    </cfRule>
    <cfRule type="expression" priority="40" dxfId="32" stopIfTrue="1">
      <formula>$AC$1&gt;$AY$22</formula>
    </cfRule>
  </conditionalFormatting>
  <conditionalFormatting sqref="AE23:AP23">
    <cfRule type="expression" priority="37" dxfId="33" stopIfTrue="1">
      <formula>$AD$23=""</formula>
    </cfRule>
    <cfRule type="expression" priority="38" dxfId="32" stopIfTrue="1">
      <formula>$AC$1&gt;$AY$23</formula>
    </cfRule>
  </conditionalFormatting>
  <conditionalFormatting sqref="AE24:AP24">
    <cfRule type="expression" priority="35" dxfId="33" stopIfTrue="1">
      <formula>$AD$24=""</formula>
    </cfRule>
    <cfRule type="expression" priority="36" dxfId="32" stopIfTrue="1">
      <formula>$AC$1&gt;$AY$24</formula>
    </cfRule>
  </conditionalFormatting>
  <conditionalFormatting sqref="AQ12:AS12">
    <cfRule type="expression" priority="34" dxfId="16" stopIfTrue="1">
      <formula>$AC$12=""</formula>
    </cfRule>
  </conditionalFormatting>
  <conditionalFormatting sqref="AQ19:AS19">
    <cfRule type="expression" priority="31" dxfId="16" stopIfTrue="1">
      <formula>$AC$19=""</formula>
    </cfRule>
  </conditionalFormatting>
  <conditionalFormatting sqref="AQ21:AS21">
    <cfRule type="expression" priority="30" dxfId="16" stopIfTrue="1">
      <formula>$AC$21=""</formula>
    </cfRule>
  </conditionalFormatting>
  <conditionalFormatting sqref="AQ23:AS23">
    <cfRule type="expression" priority="29" dxfId="16" stopIfTrue="1">
      <formula>$AC$23=""</formula>
    </cfRule>
  </conditionalFormatting>
  <conditionalFormatting sqref="AQ24:AS24">
    <cfRule type="expression" priority="28" dxfId="16" stopIfTrue="1">
      <formula>$AC$24=""</formula>
    </cfRule>
  </conditionalFormatting>
  <conditionalFormatting sqref="AQ14:AS14">
    <cfRule type="expression" priority="27" dxfId="16" stopIfTrue="1">
      <formula>$AC$14=""</formula>
    </cfRule>
  </conditionalFormatting>
  <conditionalFormatting sqref="AQ18:AS18">
    <cfRule type="expression" priority="26" dxfId="16" stopIfTrue="1">
      <formula>$AC$18=""</formula>
    </cfRule>
  </conditionalFormatting>
  <conditionalFormatting sqref="AQ20:AS20">
    <cfRule type="expression" priority="25" dxfId="16" stopIfTrue="1">
      <formula>$AC$20=""</formula>
    </cfRule>
  </conditionalFormatting>
  <conditionalFormatting sqref="AQ22:AS22">
    <cfRule type="expression" priority="24" dxfId="16" stopIfTrue="1">
      <formula>$AC$22=""</formula>
    </cfRule>
  </conditionalFormatting>
  <conditionalFormatting sqref="AQ17:AS17">
    <cfRule type="expression" priority="23" dxfId="16" stopIfTrue="1">
      <formula>$AC$17=""</formula>
    </cfRule>
  </conditionalFormatting>
  <conditionalFormatting sqref="AQ16:AS16">
    <cfRule type="expression" priority="22" dxfId="16" stopIfTrue="1">
      <formula>$AC$16=""</formula>
    </cfRule>
  </conditionalFormatting>
  <conditionalFormatting sqref="AQ11:AS11">
    <cfRule type="expression" priority="21" dxfId="16" stopIfTrue="1">
      <formula>$AC$11=""</formula>
    </cfRule>
  </conditionalFormatting>
  <conditionalFormatting sqref="AQ10:AS10">
    <cfRule type="expression" priority="20" dxfId="16" stopIfTrue="1">
      <formula>$AC$10=""</formula>
    </cfRule>
  </conditionalFormatting>
  <conditionalFormatting sqref="AQ13:AS13">
    <cfRule type="expression" priority="19" dxfId="16" stopIfTrue="1">
      <formula>$AC$13=""</formula>
    </cfRule>
  </conditionalFormatting>
  <conditionalFormatting sqref="AQ15:AS15">
    <cfRule type="expression" priority="18" dxfId="16" stopIfTrue="1">
      <formula>$AC$15=""</formula>
    </cfRule>
  </conditionalFormatting>
  <conditionalFormatting sqref="P10:R10">
    <cfRule type="expression" priority="85" dxfId="16" stopIfTrue="1">
      <formula>$B$10=""</formula>
    </cfRule>
  </conditionalFormatting>
  <conditionalFormatting sqref="D30:R30">
    <cfRule type="expression" priority="313" dxfId="1" stopIfTrue="1">
      <formula>$P30+$R30&gt;=2</formula>
    </cfRule>
  </conditionalFormatting>
  <conditionalFormatting sqref="AE27:AS27">
    <cfRule type="expression" priority="9" dxfId="1" stopIfTrue="1">
      <formula>$AS$27&gt;$AQ$27</formula>
    </cfRule>
    <cfRule type="expression" priority="13" dxfId="1" stopIfTrue="1">
      <formula>$AQ$27&gt;$AS$27</formula>
    </cfRule>
  </conditionalFormatting>
  <conditionalFormatting sqref="AD27:AS27">
    <cfRule type="expression" priority="15" dxfId="0" stopIfTrue="1">
      <formula>$AC$27=2</formula>
    </cfRule>
  </conditionalFormatting>
  <conditionalFormatting sqref="AE28:AS28">
    <cfRule type="expression" priority="8" dxfId="1" stopIfTrue="1">
      <formula>$AS$28&gt;$AQ$28</formula>
    </cfRule>
    <cfRule type="expression" priority="10" dxfId="1" stopIfTrue="1">
      <formula>$AQ$28&gt;$AS$28</formula>
    </cfRule>
  </conditionalFormatting>
  <conditionalFormatting sqref="AD28:AS28">
    <cfRule type="expression" priority="12" dxfId="0" stopIfTrue="1">
      <formula>$AC$28=2</formula>
    </cfRule>
  </conditionalFormatting>
  <conditionalFormatting sqref="AE27:AP27">
    <cfRule type="expression" priority="14" dxfId="3" stopIfTrue="1">
      <formula>$AD$27&gt;0</formula>
    </cfRule>
  </conditionalFormatting>
  <conditionalFormatting sqref="AE28:AP28">
    <cfRule type="expression" priority="11" dxfId="3" stopIfTrue="1">
      <formula>$AD$28&gt;0</formula>
    </cfRule>
  </conditionalFormatting>
  <conditionalFormatting sqref="D27:R27">
    <cfRule type="expression" priority="5" dxfId="1" stopIfTrue="1">
      <formula>$R$27&gt;$P$27</formula>
    </cfRule>
    <cfRule type="expression" priority="6" dxfId="1" stopIfTrue="1">
      <formula>$P$27&gt;$R$27</formula>
    </cfRule>
  </conditionalFormatting>
  <conditionalFormatting sqref="D27:O27">
    <cfRule type="expression" priority="7" dxfId="3" stopIfTrue="1">
      <formula>$C$27&gt;0</formula>
    </cfRule>
  </conditionalFormatting>
  <conditionalFormatting sqref="D28:O28">
    <cfRule type="expression" priority="4" dxfId="3" stopIfTrue="1">
      <formula>$C$28&gt;0</formula>
    </cfRule>
  </conditionalFormatting>
  <conditionalFormatting sqref="D28:R28">
    <cfRule type="expression" priority="2" dxfId="1" stopIfTrue="1">
      <formula>$R$28&gt;$P$28</formula>
    </cfRule>
    <cfRule type="expression" priority="3" dxfId="1" stopIfTrue="1">
      <formula>$P$28&gt;$R$28</formula>
    </cfRule>
  </conditionalFormatting>
  <conditionalFormatting sqref="C27:R28">
    <cfRule type="expression" priority="1" dxfId="0" stopIfTrue="1">
      <formula>$B$27=2</formula>
    </cfRule>
  </conditionalFormatting>
  <hyperlinks>
    <hyperlink ref="BA15" r:id="rId1" display="147max@freenet.de"/>
    <hyperlink ref="BA16" r:id="rId2" display="g.oliver@online.de"/>
  </hyperlinks>
  <printOptions/>
  <pageMargins left="0.787401575" right="0.787401575" top="0.984251969" bottom="0.984251969" header="0.4921259845" footer="0.492125984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Ralph Kusterer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Kusterer</dc:creator>
  <cp:keywords/>
  <dc:description/>
  <cp:lastModifiedBy>Delle</cp:lastModifiedBy>
  <cp:lastPrinted>2009-12-17T10:44:17Z</cp:lastPrinted>
  <dcterms:created xsi:type="dcterms:W3CDTF">2003-03-13T13:55:04Z</dcterms:created>
  <dcterms:modified xsi:type="dcterms:W3CDTF">2020-01-12T08:56:30Z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